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PC-JMO\Desktop\1.CARPETA EN USO EFFIREM ENERO 2023\4. GO EFIREM 2021\Web\"/>
    </mc:Choice>
  </mc:AlternateContent>
  <xr:revisionPtr revIDLastSave="0" documentId="13_ncr:1_{74846B8E-5B7D-4D03-9282-11188E3F2ED2}" xr6:coauthVersionLast="47" xr6:coauthVersionMax="47" xr10:uidLastSave="{00000000-0000-0000-0000-000000000000}"/>
  <bookViews>
    <workbookView xWindow="-108" yWindow="-108" windowWidth="23256" windowHeight="12576" activeTab="1" xr2:uid="{81F503FE-6AB1-4373-9962-D5ADD6DD17BD}"/>
  </bookViews>
  <sheets>
    <sheet name="Prediagnostico " sheetId="1" r:id="rId1"/>
    <sheet name="Ejemplo prediangostico rueda" sheetId="2" r:id="rId2"/>
    <sheet name="Uso del Caño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 i="3" l="1"/>
  <c r="S10" i="3" s="1"/>
  <c r="G4" i="3"/>
  <c r="G5" i="3"/>
  <c r="G6" i="3"/>
  <c r="G7" i="3"/>
  <c r="G3" i="3"/>
  <c r="J7" i="3"/>
  <c r="L7" i="3" s="1"/>
  <c r="D7" i="3"/>
  <c r="E7" i="3" s="1"/>
  <c r="C74" i="3"/>
  <c r="J6" i="3"/>
  <c r="L6" i="3" s="1"/>
  <c r="N10" i="3" s="1"/>
  <c r="O10" i="3" s="1"/>
  <c r="M10" i="3" s="1"/>
  <c r="P10" i="3" s="1"/>
  <c r="D6" i="3"/>
  <c r="E6" i="3" s="1"/>
  <c r="J5" i="3"/>
  <c r="L5" i="3" s="1"/>
  <c r="D5" i="3"/>
  <c r="E5" i="3" s="1"/>
  <c r="J4" i="3"/>
  <c r="L4" i="3" s="1"/>
  <c r="D4" i="3"/>
  <c r="E4" i="3" s="1"/>
  <c r="R11" i="3" s="1"/>
  <c r="S11" i="3" s="1"/>
  <c r="J3" i="3"/>
  <c r="L3" i="3" s="1"/>
  <c r="D3" i="3"/>
  <c r="E3" i="3" s="1"/>
  <c r="O3" i="3" s="1"/>
  <c r="V50" i="2"/>
  <c r="W52" i="2"/>
  <c r="Y51" i="2"/>
  <c r="X51" i="2"/>
  <c r="T51" i="2"/>
  <c r="V51" i="2"/>
  <c r="W51" i="2" s="1"/>
  <c r="M51" i="2"/>
  <c r="M52" i="2"/>
  <c r="Z34" i="2"/>
  <c r="X50" i="2"/>
  <c r="X53" i="2"/>
  <c r="V53" i="2"/>
  <c r="W53" i="2"/>
  <c r="X52" i="2"/>
  <c r="W50" i="2"/>
  <c r="S53" i="2"/>
  <c r="S52" i="2"/>
  <c r="S51" i="2"/>
  <c r="N12" i="3" l="1"/>
  <c r="O12" i="3" s="1"/>
  <c r="M12" i="3" s="1"/>
  <c r="P12" i="3" s="1"/>
  <c r="Q10" i="3"/>
  <c r="T10" i="3" s="1"/>
  <c r="Q12" i="3"/>
  <c r="N6" i="3"/>
  <c r="R12" i="3"/>
  <c r="S12" i="3" s="1"/>
  <c r="T12" i="3" s="1"/>
  <c r="N13" i="3"/>
  <c r="O13" i="3" s="1"/>
  <c r="M13" i="3" s="1"/>
  <c r="P13" i="3" s="1"/>
  <c r="Q13" i="3" s="1"/>
  <c r="N11" i="3"/>
  <c r="O11" i="3" s="1"/>
  <c r="M11" i="3" s="1"/>
  <c r="P11" i="3" s="1"/>
  <c r="Q11" i="3" s="1"/>
  <c r="T11" i="3" s="1"/>
  <c r="R13" i="3"/>
  <c r="S13" i="3" s="1"/>
  <c r="N4" i="3"/>
  <c r="F3" i="3"/>
  <c r="H3" i="3" s="1"/>
  <c r="N5" i="3"/>
  <c r="F7" i="3"/>
  <c r="H7" i="3" s="1"/>
  <c r="N3" i="3"/>
  <c r="P3" i="3" s="1"/>
  <c r="F4" i="3"/>
  <c r="H4" i="3" s="1"/>
  <c r="F5" i="3"/>
  <c r="H5" i="3" s="1"/>
  <c r="F6" i="3"/>
  <c r="H6" i="3" s="1"/>
  <c r="D74" i="3"/>
  <c r="E74" i="3" s="1"/>
  <c r="F74" i="3" s="1"/>
  <c r="N7" i="3"/>
  <c r="B48" i="3"/>
  <c r="Y52" i="2"/>
  <c r="O52" i="2"/>
  <c r="O51" i="2"/>
  <c r="O50" i="2"/>
  <c r="Q50" i="2" s="1"/>
  <c r="O53" i="2"/>
  <c r="I51" i="2"/>
  <c r="J51" i="2" s="1"/>
  <c r="N62" i="2" s="1"/>
  <c r="I52" i="2"/>
  <c r="J52" i="2" s="1"/>
  <c r="N61" i="2" s="1"/>
  <c r="I50" i="2"/>
  <c r="J50" i="2" s="1"/>
  <c r="I53" i="2"/>
  <c r="J53" i="2" s="1"/>
  <c r="N60" i="2" s="1"/>
  <c r="N42" i="2"/>
  <c r="O42" i="2"/>
  <c r="P42" i="2"/>
  <c r="Q42" i="2"/>
  <c r="R42" i="2"/>
  <c r="M42" i="2"/>
  <c r="E10" i="2"/>
  <c r="E49" i="2" s="1"/>
  <c r="E68" i="2" s="1"/>
  <c r="L45" i="2"/>
  <c r="E58" i="2" s="1"/>
  <c r="H120" i="2"/>
  <c r="E100" i="2"/>
  <c r="E52" i="2"/>
  <c r="E21" i="2"/>
  <c r="G35" i="2" s="1"/>
  <c r="T13" i="3" l="1"/>
  <c r="M5" i="3"/>
  <c r="O5" i="3" s="1"/>
  <c r="M6" i="3"/>
  <c r="O6" i="3" s="1"/>
  <c r="Y53" i="2"/>
  <c r="N63" i="2"/>
  <c r="K53" i="2"/>
  <c r="M53" i="2" s="1"/>
  <c r="Y50" i="2"/>
  <c r="Q51" i="2"/>
  <c r="Q52" i="2"/>
  <c r="Q53" i="2"/>
  <c r="K50" i="2"/>
  <c r="M50" i="2" s="1"/>
  <c r="K52" i="2"/>
  <c r="I120" i="2"/>
  <c r="J120" i="2" s="1"/>
  <c r="K120" i="2" s="1"/>
  <c r="G33" i="2"/>
  <c r="G94" i="2" s="1"/>
  <c r="H29" i="2"/>
  <c r="E82" i="2"/>
  <c r="E84" i="2"/>
  <c r="E70" i="2"/>
  <c r="E59" i="2"/>
  <c r="E60" i="2" s="1"/>
  <c r="P6" i="3" l="1"/>
  <c r="P5" i="3"/>
  <c r="M4" i="3"/>
  <c r="T53" i="2"/>
  <c r="U53" i="2" s="1"/>
  <c r="S50" i="2"/>
  <c r="T50" i="2" s="1"/>
  <c r="T52" i="2"/>
  <c r="H31" i="2"/>
  <c r="I31" i="2" s="1"/>
  <c r="I29" i="2"/>
  <c r="J29" i="2" s="1"/>
  <c r="K29" i="2" s="1"/>
  <c r="M7" i="3" l="1"/>
  <c r="O7" i="3" s="1"/>
  <c r="P7" i="3" s="1"/>
  <c r="O4" i="3"/>
  <c r="P4" i="3" s="1"/>
  <c r="U52" i="2"/>
  <c r="V52" i="2" s="1"/>
  <c r="U50" i="2"/>
  <c r="H33" i="2"/>
  <c r="J31" i="2"/>
  <c r="K31" i="2" s="1"/>
  <c r="Z50" i="2" l="1"/>
  <c r="Z53" i="2"/>
  <c r="Z51" i="2"/>
  <c r="Z52" i="2"/>
  <c r="I33" i="2"/>
  <c r="J33" i="2" s="1"/>
  <c r="K33" i="2" s="1"/>
  <c r="H35" i="2"/>
  <c r="C47" i="3" l="1"/>
  <c r="C48" i="3" s="1"/>
  <c r="H37" i="2"/>
  <c r="I37" i="2" s="1"/>
  <c r="I35" i="2"/>
  <c r="J35" i="2" s="1"/>
  <c r="K35" i="2" s="1"/>
  <c r="E48" i="3" l="1"/>
  <c r="E56" i="3" s="1"/>
  <c r="B56" i="3" s="1"/>
  <c r="B54" i="3"/>
  <c r="C54" i="3"/>
  <c r="H39" i="2"/>
  <c r="J37" i="2"/>
  <c r="H41" i="2" l="1"/>
  <c r="I41" i="2" s="1"/>
  <c r="E46" i="2" s="1"/>
  <c r="I39" i="2"/>
  <c r="J39" i="2" s="1"/>
  <c r="J41" i="2" l="1"/>
  <c r="K41" i="2" s="1"/>
  <c r="K45" i="2" s="1"/>
  <c r="E47" i="2" s="1"/>
  <c r="E72" i="2" s="1"/>
  <c r="H93" i="2"/>
  <c r="H94" i="2" s="1"/>
  <c r="E53" i="2" l="1"/>
  <c r="G100" i="2"/>
  <c r="J94" i="2"/>
  <c r="J102" i="2" s="1"/>
  <c r="G102" i="2" s="1"/>
  <c r="H100" i="2"/>
  <c r="E77" i="2"/>
  <c r="E85" i="2" s="1"/>
  <c r="E73" i="2"/>
  <c r="E83" i="2" l="1"/>
  <c r="E86" i="2" s="1"/>
  <c r="E74" i="2"/>
  <c r="E75" i="2" s="1"/>
  <c r="L45" i="1" l="1"/>
  <c r="E55" i="1" s="1"/>
  <c r="E79" i="1"/>
  <c r="E49" i="1"/>
  <c r="E51" i="1"/>
  <c r="E97" i="1"/>
  <c r="E65" i="1" l="1"/>
  <c r="E56" i="1"/>
  <c r="E57" i="1" s="1"/>
  <c r="E81" i="1" l="1"/>
  <c r="E67" i="1"/>
  <c r="H117" i="1" l="1"/>
  <c r="E21" i="1"/>
  <c r="G35" i="1" l="1"/>
  <c r="G33" i="1"/>
  <c r="I117" i="1"/>
  <c r="J117" i="1" s="1"/>
  <c r="K117" i="1" s="1"/>
  <c r="H29" i="1"/>
  <c r="I29" i="1" s="1"/>
  <c r="J29" i="1" s="1"/>
  <c r="K29" i="1" s="1"/>
  <c r="G91" i="1" l="1"/>
  <c r="H31" i="1" l="1"/>
  <c r="I31" i="1" l="1"/>
  <c r="J31" i="1" s="1"/>
  <c r="K31" i="1" s="1"/>
  <c r="H33" i="1"/>
  <c r="H35" i="1" l="1"/>
  <c r="I33" i="1"/>
  <c r="J33" i="1" s="1"/>
  <c r="K33" i="1" s="1"/>
  <c r="H37" i="1" l="1"/>
  <c r="I35" i="1"/>
  <c r="J35" i="1" l="1"/>
  <c r="K35" i="1" s="1"/>
  <c r="I37" i="1"/>
  <c r="J37" i="1" s="1"/>
  <c r="H39" i="1"/>
  <c r="H41" i="1" l="1"/>
  <c r="I39" i="1"/>
  <c r="J39" i="1" s="1"/>
  <c r="I41" i="1" l="1"/>
  <c r="E46" i="1" s="1"/>
  <c r="E50" i="1" s="1"/>
  <c r="E80" i="1" s="1"/>
  <c r="H90" i="1"/>
  <c r="H91" i="1" s="1"/>
  <c r="J41" i="1" l="1"/>
  <c r="K41" i="1" s="1"/>
  <c r="H97" i="1"/>
  <c r="G97" i="1"/>
  <c r="J91" i="1"/>
  <c r="J99" i="1" s="1"/>
  <c r="G99" i="1" s="1"/>
  <c r="E52" i="1"/>
  <c r="E53" i="1" s="1"/>
  <c r="K45" i="1" l="1"/>
  <c r="E47" i="1" s="1"/>
  <c r="E69" i="1" s="1"/>
  <c r="E64" i="1"/>
  <c r="E66" i="1" s="1"/>
  <c r="E70" i="1" l="1"/>
  <c r="E71" i="1" s="1"/>
  <c r="E72" i="1" s="1"/>
  <c r="E74" i="1"/>
  <c r="E82" i="1" s="1"/>
  <c r="E83" i="1" s="1"/>
  <c r="E69" i="2" l="1"/>
  <c r="E67" i="2"/>
  <c r="E51" i="2"/>
  <c r="E5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PC-JMO</author>
  </authors>
  <commentList>
    <comment ref="E21" authorId="0" shapeId="0" xr:uid="{BED6916E-7A32-467D-95BE-28D258924C96}">
      <text>
        <r>
          <rPr>
            <b/>
            <sz val="9"/>
            <color indexed="81"/>
            <rFont val="Tahoma"/>
            <family val="2"/>
          </rPr>
          <t>PC-JMO:</t>
        </r>
        <r>
          <rPr>
            <sz val="9"/>
            <color indexed="81"/>
            <rFont val="Tahoma"/>
            <family val="2"/>
          </rPr>
          <t xml:space="preserve">
Este valor es el valor del nivel dinamico del agua mas la presion en el manometro multiplicado por 5. En el cso de no conocer el nivel dinamico, se toma el valor de la profundiad de la bomba menos 10 m.</t>
        </r>
      </text>
    </comment>
    <comment ref="E47" authorId="0" shapeId="0" xr:uid="{199A1961-EE25-4D51-B631-AFA0D8A2E852}">
      <text>
        <r>
          <rPr>
            <b/>
            <sz val="9"/>
            <color indexed="81"/>
            <rFont val="Tahoma"/>
            <family val="2"/>
          </rPr>
          <t>PC-JMO:EN caso de no saber el dato de potencia de la bomba lo restara del dato de potencia contratada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PC-JMO</author>
  </authors>
  <commentList>
    <comment ref="E21" authorId="0" shapeId="0" xr:uid="{5F7FFA34-CCAC-4A4B-8895-9B8C58C3F57A}">
      <text>
        <r>
          <rPr>
            <b/>
            <sz val="9"/>
            <color indexed="81"/>
            <rFont val="Tahoma"/>
            <family val="2"/>
          </rPr>
          <t>PC-JMO:</t>
        </r>
        <r>
          <rPr>
            <sz val="9"/>
            <color indexed="81"/>
            <rFont val="Tahoma"/>
            <family val="2"/>
          </rPr>
          <t xml:space="preserve">
Este valor es el valor del nivel dinamico del agua mas la presion en el manometro multiplicado por 5. En el cso de no conocer el nivel dinamico, se toma el valor de la profundiad de la bomba menos 10 m.</t>
        </r>
      </text>
    </comment>
    <comment ref="E47" authorId="0" shapeId="0" xr:uid="{17DEAFFC-EBA2-4AB5-8B3A-6FC609F28C15}">
      <text>
        <r>
          <rPr>
            <b/>
            <sz val="9"/>
            <color indexed="81"/>
            <rFont val="Tahoma"/>
            <family val="2"/>
          </rPr>
          <t>PC-JMO:EN caso de no saber el dato de potencia de la bomba lo restara del dato de potencia contratada</t>
        </r>
      </text>
    </comment>
  </commentList>
</comments>
</file>

<file path=xl/sharedStrings.xml><?xml version="1.0" encoding="utf-8"?>
<sst xmlns="http://schemas.openxmlformats.org/spreadsheetml/2006/main" count="351" uniqueCount="153">
  <si>
    <t>¿Cuánto puedo ahorrar en el riego mediante actuaciones de eficiencia energética?</t>
  </si>
  <si>
    <t>NO</t>
  </si>
  <si>
    <t>0-200, en tramos de 10 en 10, el ultimo que sea &gt;200, otra opcion que sea "no lo se"</t>
  </si>
  <si>
    <t>Arrancador</t>
  </si>
  <si>
    <t>0-200,000 en tramos de 5000, el ultimo que sea  200,000, otra opcion que sea "no lo se"</t>
  </si>
  <si>
    <t>gasoleo</t>
  </si>
  <si>
    <t>electricidad</t>
  </si>
  <si>
    <t>sumergida</t>
  </si>
  <si>
    <t>de eje vertical</t>
  </si>
  <si>
    <t>Horizontal</t>
  </si>
  <si>
    <t>Variador de vel.</t>
  </si>
  <si>
    <t xml:space="preserve">SI </t>
  </si>
  <si>
    <t>Indique la antigüedad en años de la electrobomba</t>
  </si>
  <si>
    <t>NO LO SE</t>
  </si>
  <si>
    <t>Superficie de cultivos de verano regada con ese bombeo, en ha</t>
  </si>
  <si>
    <t>Profundidad de la bomba, en m</t>
  </si>
  <si>
    <t>GASOLEO</t>
  </si>
  <si>
    <t>SUMERGIDA</t>
  </si>
  <si>
    <t>De 1 a 8, con intervalos de 0,5, el ultimo &gt; 8, otra opcion que sea "no lo se"</t>
  </si>
  <si>
    <t>NO LO UTILIZA</t>
  </si>
  <si>
    <t>Nombre</t>
  </si>
  <si>
    <t>Correo</t>
  </si>
  <si>
    <t>Telefono</t>
  </si>
  <si>
    <t xml:space="preserve">En caso de utilizar cobertura, la presion del manometro al inicio del ramal de riego, en kg/cm2 </t>
  </si>
  <si>
    <t xml:space="preserve">&lt; 15, de en tramos de 5 en 5, a intervalos de 5 m. </t>
  </si>
  <si>
    <t>SIEMPRE</t>
  </si>
  <si>
    <t>NUNCA</t>
  </si>
  <si>
    <t>EN ALGUNOS SECTORES</t>
  </si>
  <si>
    <t>EN LA MAYORIA DE LOS SECTORES</t>
  </si>
  <si>
    <t>Cuando riega, necesita estrangular en el bomboe o la tuberia general para bajar presión en algun sector</t>
  </si>
  <si>
    <t>En caso de que la electrobomba sea nueva, el motor es de imanes permanentes</t>
  </si>
  <si>
    <t>Dispone de programador de riegos con telecontrol para encender y apagar el bombeo y lo sectores de riego</t>
  </si>
  <si>
    <t>INFORIEGO</t>
  </si>
  <si>
    <t>SONDAS</t>
  </si>
  <si>
    <t>Programa los riegos siguiendo las recomendaciones de AIMCRA; Inforiego, sondas de humedad o satelite</t>
  </si>
  <si>
    <t>SATELITE</t>
  </si>
  <si>
    <t>NINGUNA</t>
  </si>
  <si>
    <t>Posibilidades de ahorro</t>
  </si>
  <si>
    <t xml:space="preserve">En caso de utilizar pivote, indique la presion del manómetro en la cabeza del pivot, en kg/cm2 </t>
  </si>
  <si>
    <t>LLANA</t>
  </si>
  <si>
    <t>De 5 a 40 m, con intervalos de 5 m, el ultimo &gt; 40, otra opcion que sea "no lo se"</t>
  </si>
  <si>
    <t>Indique la longitud del pivot</t>
  </si>
  <si>
    <t>De 1 a 500, con intervalos de 50, el ultimo &gt; 500, otra opcion que sea "no lo se"</t>
  </si>
  <si>
    <t>A</t>
  </si>
  <si>
    <t>B</t>
  </si>
  <si>
    <t>Si el pivote tiene cañón, indique el alcance del agua en el cañon final del pivot, en m</t>
  </si>
  <si>
    <t>Indique el desnivel entre el punto mas alto y mas bajo de la parcela (puede verlo en Google Earth)</t>
  </si>
  <si>
    <t>Si lo sabe, diga el nivel estático del agua (cuando no esta regando), en m</t>
  </si>
  <si>
    <t>Ubicación, indique las parcelas SIGPAC, regadas con ese bombeo</t>
  </si>
  <si>
    <t>Nombre del bombeo</t>
  </si>
  <si>
    <t>Pol 3, Par 7</t>
  </si>
  <si>
    <t>Potencia final necesaria</t>
  </si>
  <si>
    <t>Ahorro en el termino de potencia</t>
  </si>
  <si>
    <t>Ahorros en contratacion electrica</t>
  </si>
  <si>
    <t>KW contratados en P6</t>
  </si>
  <si>
    <t>P6,P5,P4,P3,P2</t>
  </si>
  <si>
    <t>Meses que contrata todos los periodos</t>
  </si>
  <si>
    <t>Periodos contratados durante la epoca de riegos</t>
  </si>
  <si>
    <t>AB, MY, JN, JL, AG, SP</t>
  </si>
  <si>
    <t>Factura anual de electricidad sin iva</t>
  </si>
  <si>
    <t>Ahorro total</t>
  </si>
  <si>
    <t>% ahorro</t>
  </si>
  <si>
    <t>Coste energ</t>
  </si>
  <si>
    <t>Inversion</t>
  </si>
  <si>
    <t>LOS CERROS</t>
  </si>
  <si>
    <t>Estrella-triangulo</t>
  </si>
  <si>
    <t>Directo</t>
  </si>
  <si>
    <t>La diferencia hasta 2,5</t>
  </si>
  <si>
    <t>La diferencia hasta 2,0</t>
  </si>
  <si>
    <t>AMICRA</t>
  </si>
  <si>
    <t>0-5</t>
  </si>
  <si>
    <t>15-20</t>
  </si>
  <si>
    <t>&gt;20</t>
  </si>
  <si>
    <t>5-10</t>
  </si>
  <si>
    <t>10-15</t>
  </si>
  <si>
    <t>Sistema de arranque de la electrobomba es</t>
  </si>
  <si>
    <t>Presion en el manómetro del brocal</t>
  </si>
  <si>
    <t>Altura manometrica total estimada (nivel del agua + presion)</t>
  </si>
  <si>
    <t>Si lo sabe, diga el nivel dinámico del agua (cuando esta regando), en m</t>
  </si>
  <si>
    <t>de 3 a 250 Cv o el equivalente en kW</t>
  </si>
  <si>
    <t>Indique % de suprerifice regada mediante pivote</t>
  </si>
  <si>
    <t>Indique % de suprerifice regada mediante cobertura</t>
  </si>
  <si>
    <t>Energía utilizada en el bombeo</t>
  </si>
  <si>
    <t>Tipo de electrobomba</t>
  </si>
  <si>
    <t>Caudal bombeado, en l/hora</t>
  </si>
  <si>
    <t>Datos</t>
  </si>
  <si>
    <t>% ahorro acu</t>
  </si>
  <si>
    <t>% Ahorro por eficiencia energetica</t>
  </si>
  <si>
    <t>Gasto anual de la factura energetica antes</t>
  </si>
  <si>
    <t>kW Potencia de bombeo necesaria</t>
  </si>
  <si>
    <t xml:space="preserve">Gasto anual de la factura energetica </t>
  </si>
  <si>
    <t>Potencia de la bomba en KW (poder traducir en Cv según lo que meta)</t>
  </si>
  <si>
    <t>Ahorro por eficiencia energetica</t>
  </si>
  <si>
    <t>Ahorro por menor potencia contratada</t>
  </si>
  <si>
    <t>Periodos contratados durante la campaña de riego</t>
  </si>
  <si>
    <t>kW contratados en P6</t>
  </si>
  <si>
    <t>Gasto anual de la factura energética despues</t>
  </si>
  <si>
    <t>Inversión sin ayudas</t>
  </si>
  <si>
    <t>Inversion final con ayudas</t>
  </si>
  <si>
    <t>Ahorro por solar</t>
  </si>
  <si>
    <t>% de ahorro por eficiencia</t>
  </si>
  <si>
    <t>% de ahorro por solar</t>
  </si>
  <si>
    <t>Potencia solar necesaria para una instalacion con paneles fijos y balsa</t>
  </si>
  <si>
    <t>Ayudas</t>
  </si>
  <si>
    <t>Ahorro por cambio a solar</t>
  </si>
  <si>
    <t>prod. kW/año</t>
  </si>
  <si>
    <t>% excedente</t>
  </si>
  <si>
    <t>Precio kWh</t>
  </si>
  <si>
    <t>INGRESOS ANUALES POR VENTA DE EXCEDENTE DE ENERGIA A LA RED</t>
  </si>
  <si>
    <t>Factor fijo con balsa</t>
  </si>
  <si>
    <t>Precio paneles €/W-p</t>
  </si>
  <si>
    <t>Ahorro por eficiencia</t>
  </si>
  <si>
    <t>Venta de excedentes</t>
  </si>
  <si>
    <t>Gasto anual aantes</t>
  </si>
  <si>
    <t>Resultado final</t>
  </si>
  <si>
    <t>INTRODUCCION DE DATOS</t>
  </si>
  <si>
    <t>RESUMEN DE RENTABILIDAD</t>
  </si>
  <si>
    <t>DATOS DEL INTERESADO PARA ENVIARLE EL PREINFORME</t>
  </si>
  <si>
    <t>RESULTADOS EFICIENCIA ENERGETICA</t>
  </si>
  <si>
    <t>RESULTADOS INSTALACION SOLAR</t>
  </si>
  <si>
    <t>PREINFORME DE AHORRO DE COSTES ENERGETICOS EN EL RIEGO MEDIANTE EFICIENCIA ENERGETICA Y ENERGIA SOLAR</t>
  </si>
  <si>
    <t>INGRESOS ANUALES POR VENTA DE EXCEDENTE A LA RED</t>
  </si>
  <si>
    <t>RUEDA</t>
  </si>
  <si>
    <t>earth</t>
  </si>
  <si>
    <t xml:space="preserve">Arrancador </t>
  </si>
  <si>
    <t>No</t>
  </si>
  <si>
    <t>SI</t>
  </si>
  <si>
    <t>ganacias</t>
  </si>
  <si>
    <t>Coste riego</t>
  </si>
  <si>
    <t>Resultado</t>
  </si>
  <si>
    <t>Presion alero</t>
  </si>
  <si>
    <t>Presion brocal (+7+2)</t>
  </si>
  <si>
    <t>nivel dinamico</t>
  </si>
  <si>
    <t>altura man total</t>
  </si>
  <si>
    <t>%</t>
  </si>
  <si>
    <t>Ahorro</t>
  </si>
  <si>
    <t>coste</t>
  </si>
  <si>
    <t>r55</t>
  </si>
  <si>
    <t>cañon</t>
  </si>
  <si>
    <t>sect</t>
  </si>
  <si>
    <t>sin</t>
  </si>
  <si>
    <t>Coste-ahorro</t>
  </si>
  <si>
    <t>dif ingresos €</t>
  </si>
  <si>
    <t>coste antes</t>
  </si>
  <si>
    <t>despues</t>
  </si>
  <si>
    <t>ingresos</t>
  </si>
  <si>
    <t>gastos</t>
  </si>
  <si>
    <t>ganancia</t>
  </si>
  <si>
    <t>costes despues</t>
  </si>
  <si>
    <t>rebombeo</t>
  </si>
  <si>
    <t>reb</t>
  </si>
  <si>
    <t>CALCULADORA SOBRE LA RENTABILIDAD DE CULTIVO EN FUNCION DE UTILIZAR O NO EL CAÑON DEL PIVOT Y DE QUE SOLUCION ADOPTAR</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</si>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</sst>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theme="1"/>
      <name val="Calibri"/>
      <family val="2"/>
      <scheme val="minor"/>
    </font>
    <font>
      <sz val="11"/>
      <color rgb="FF006100"/>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9"/>
      <color indexed="81"/>
      <name val="Tahoma"/>
      <family val="2"/>
    </font>
    <font>
      <b/>
      <sz val="9"/>
      <color indexed="81"/>
      <name val="Tahoma"/>
      <family val="2"/>
    </font>
    <font>
      <b/>
      <sz val="12"/>
      <color theme="1"/>
      <name val="Calibri"/>
      <family val="2"/>
      <scheme val="minor"/>
    </font>
    <font>
      <sz val="11"/>
      <color theme="0"/>
      <name val="Calibri"/>
      <family val="2"/>
      <scheme val="minor"/>
    </font>
    <font>
      <u/>
      <sz val="11"/>
      <color theme="10"/>
      <name val="Calibri"/>
      <family val="2"/>
      <scheme val="minor"/>
    </font>
    <font>
      <b/>
      <sz val="11"/>
      <color rgb="FFFF0000"/>
      <name val="Calibri"/>
      <family val="2"/>
      <scheme val="minor"/>
    </font>
  </fonts>
  <fills count="12">
    <fill>
      <patternFill patternType="none"/>
    </fill>
    <fill>
      <patternFill patternType="gray125"/>
    </fill>
    <fill>
      <patternFill patternType="solid">
        <fgColor rgb="FFC6EFCE"/>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FF00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2" fillId="2" borderId="0" applyNumberFormat="0" applyBorder="0" applyAlignment="0" applyProtection="0"/>
    <xf numFmtId="0" fontId="10" fillId="0" borderId="0" applyNumberFormat="0" applyFill="0" applyBorder="0" applyAlignment="0" applyProtection="0"/>
  </cellStyleXfs>
  <cellXfs count="94">
    <xf numFmtId="0" fontId="0" fillId="0" borderId="0" xfId="0"/>
    <xf numFmtId="0" fontId="0" fillId="0" borderId="0" xfId="0" applyAlignment="1">
      <alignment horizontal="center"/>
    </xf>
    <xf numFmtId="9" fontId="0" fillId="0" borderId="0" xfId="1" applyFont="1" applyAlignment="1">
      <alignment horizontal="center"/>
    </xf>
    <xf numFmtId="1" fontId="0" fillId="0" borderId="0" xfId="0" applyNumberFormat="1" applyAlignment="1">
      <alignment horizontal="center"/>
    </xf>
    <xf numFmtId="0" fontId="4" fillId="0" borderId="0" xfId="0" applyFont="1" applyAlignment="1">
      <alignment horizontal="center"/>
    </xf>
    <xf numFmtId="0" fontId="4" fillId="0" borderId="0" xfId="0" applyFont="1"/>
    <xf numFmtId="9" fontId="4" fillId="0" borderId="0" xfId="1" applyFont="1" applyAlignment="1">
      <alignment horizontal="center"/>
    </xf>
    <xf numFmtId="9" fontId="3" fillId="0" borderId="0" xfId="1" applyFont="1" applyAlignment="1">
      <alignment horizontal="center"/>
    </xf>
    <xf numFmtId="0" fontId="0" fillId="0" borderId="0" xfId="0" applyAlignment="1">
      <alignment horizontal="left"/>
    </xf>
    <xf numFmtId="0" fontId="0" fillId="0" borderId="0" xfId="0" applyAlignment="1">
      <alignment horizontal="center" wrapText="1"/>
    </xf>
    <xf numFmtId="49" fontId="0" fillId="0" borderId="0" xfId="0" applyNumberFormat="1" applyAlignment="1">
      <alignment horizontal="center" wrapText="1"/>
    </xf>
    <xf numFmtId="9" fontId="0" fillId="0" borderId="0" xfId="0" applyNumberFormat="1" applyAlignment="1">
      <alignment horizontal="center"/>
    </xf>
    <xf numFmtId="0" fontId="0" fillId="5" borderId="0" xfId="0" applyFill="1" applyAlignment="1">
      <alignment horizontal="center"/>
    </xf>
    <xf numFmtId="1" fontId="4" fillId="0" borderId="0" xfId="0" applyNumberFormat="1" applyFont="1" applyAlignment="1">
      <alignment horizontal="center"/>
    </xf>
    <xf numFmtId="9" fontId="1" fillId="0" borderId="0" xfId="1" applyFont="1" applyAlignment="1">
      <alignment horizontal="center"/>
    </xf>
    <xf numFmtId="9" fontId="0" fillId="0" borderId="0" xfId="1" applyFont="1" applyAlignment="1">
      <alignment horizontal="left"/>
    </xf>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4" borderId="5" xfId="0" applyFill="1" applyBorder="1" applyAlignment="1">
      <alignment horizontal="center"/>
    </xf>
    <xf numFmtId="9" fontId="0" fillId="4" borderId="5" xfId="1" applyFont="1" applyFill="1" applyBorder="1" applyAlignment="1">
      <alignment horizontal="center"/>
    </xf>
    <xf numFmtId="1" fontId="0" fillId="4" borderId="5" xfId="0" applyNumberFormat="1" applyFill="1" applyBorder="1" applyAlignment="1">
      <alignment horizontal="center"/>
    </xf>
    <xf numFmtId="9" fontId="0" fillId="0" borderId="5" xfId="1" applyFont="1" applyBorder="1" applyAlignment="1">
      <alignment horizontal="center"/>
    </xf>
    <xf numFmtId="0" fontId="2" fillId="4" borderId="5" xfId="2" applyFill="1" applyBorder="1" applyAlignment="1">
      <alignment horizontal="center"/>
    </xf>
    <xf numFmtId="0" fontId="0" fillId="6" borderId="5" xfId="0" applyFill="1" applyBorder="1" applyAlignment="1">
      <alignment horizontal="center"/>
    </xf>
    <xf numFmtId="0" fontId="0" fillId="0" borderId="4" xfId="0" applyBorder="1" applyAlignment="1">
      <alignment wrapText="1"/>
    </xf>
    <xf numFmtId="0" fontId="0" fillId="0" borderId="0" xfId="0" applyAlignment="1">
      <alignment wrapText="1"/>
    </xf>
    <xf numFmtId="0" fontId="0" fillId="0" borderId="6" xfId="0" applyBorder="1"/>
    <xf numFmtId="0" fontId="0" fillId="0" borderId="7" xfId="0" applyBorder="1"/>
    <xf numFmtId="0" fontId="0" fillId="4" borderId="8" xfId="0" applyFill="1" applyBorder="1" applyAlignment="1">
      <alignment horizontal="center"/>
    </xf>
    <xf numFmtId="0" fontId="4" fillId="0" borderId="1" xfId="0" applyFont="1" applyBorder="1"/>
    <xf numFmtId="0" fontId="0" fillId="0" borderId="2" xfId="0" applyBorder="1"/>
    <xf numFmtId="0" fontId="0" fillId="3" borderId="4" xfId="0" applyFill="1" applyBorder="1"/>
    <xf numFmtId="0" fontId="0" fillId="3" borderId="0" xfId="0" applyFill="1"/>
    <xf numFmtId="9" fontId="1" fillId="6" borderId="5" xfId="1" applyFont="1" applyFill="1" applyBorder="1" applyAlignment="1">
      <alignment horizontal="center"/>
    </xf>
    <xf numFmtId="1" fontId="0" fillId="6" borderId="5" xfId="0" applyNumberFormat="1" applyFill="1" applyBorder="1" applyAlignment="1">
      <alignment horizontal="center"/>
    </xf>
    <xf numFmtId="9" fontId="1" fillId="0" borderId="5" xfId="1" applyFont="1" applyBorder="1" applyAlignment="1">
      <alignment horizontal="center"/>
    </xf>
    <xf numFmtId="9" fontId="0" fillId="7" borderId="0" xfId="0" applyNumberFormat="1" applyFill="1" applyAlignment="1">
      <alignment horizontal="center"/>
    </xf>
    <xf numFmtId="0" fontId="4" fillId="0" borderId="6" xfId="0" applyFont="1" applyBorder="1"/>
    <xf numFmtId="0" fontId="4" fillId="0" borderId="7" xfId="0" applyFont="1" applyBorder="1"/>
    <xf numFmtId="1" fontId="0" fillId="0" borderId="8" xfId="0" applyNumberFormat="1" applyBorder="1" applyAlignment="1">
      <alignment horizontal="center"/>
    </xf>
    <xf numFmtId="1" fontId="0" fillId="0" borderId="3" xfId="0" applyNumberFormat="1" applyBorder="1" applyAlignment="1">
      <alignment horizontal="center"/>
    </xf>
    <xf numFmtId="1" fontId="0" fillId="0" borderId="5" xfId="0" applyNumberFormat="1" applyBorder="1" applyAlignment="1">
      <alignment horizontal="center"/>
    </xf>
    <xf numFmtId="0" fontId="4" fillId="0" borderId="4" xfId="0" applyFont="1" applyBorder="1"/>
    <xf numFmtId="0" fontId="0" fillId="0" borderId="8" xfId="0" applyBorder="1" applyAlignment="1">
      <alignment horizontal="center"/>
    </xf>
    <xf numFmtId="0" fontId="0" fillId="0" borderId="3" xfId="0" applyBorder="1"/>
    <xf numFmtId="0" fontId="0" fillId="0" borderId="5" xfId="0" applyBorder="1"/>
    <xf numFmtId="0" fontId="4" fillId="0" borderId="5" xfId="0" applyFont="1" applyBorder="1" applyAlignment="1">
      <alignment horizontal="center"/>
    </xf>
    <xf numFmtId="2" fontId="0" fillId="0" borderId="5" xfId="0" applyNumberFormat="1" applyBorder="1" applyAlignment="1">
      <alignment horizontal="center"/>
    </xf>
    <xf numFmtId="0" fontId="4" fillId="5" borderId="0" xfId="0" applyFont="1" applyFill="1"/>
    <xf numFmtId="0" fontId="0" fillId="5" borderId="0" xfId="0" applyFill="1"/>
    <xf numFmtId="9" fontId="1" fillId="5" borderId="0" xfId="1" applyFont="1" applyFill="1" applyAlignment="1">
      <alignment horizontal="center"/>
    </xf>
    <xf numFmtId="9" fontId="0" fillId="5" borderId="0" xfId="1" applyFont="1" applyFill="1" applyAlignment="1">
      <alignment horizontal="center"/>
    </xf>
    <xf numFmtId="0" fontId="4" fillId="5" borderId="1" xfId="0" applyFont="1" applyFill="1" applyBorder="1"/>
    <xf numFmtId="0" fontId="0" fillId="5" borderId="2" xfId="0" applyFill="1" applyBorder="1"/>
    <xf numFmtId="0" fontId="0" fillId="5" borderId="3" xfId="0" applyFill="1" applyBorder="1" applyAlignment="1">
      <alignment horizontal="center"/>
    </xf>
    <xf numFmtId="0" fontId="0" fillId="5" borderId="4" xfId="0" applyFill="1" applyBorder="1"/>
    <xf numFmtId="0" fontId="0" fillId="5" borderId="5" xfId="0" applyFill="1" applyBorder="1" applyAlignment="1">
      <alignment horizontal="center"/>
    </xf>
    <xf numFmtId="0" fontId="0" fillId="5" borderId="4" xfId="0" applyFill="1" applyBorder="1" applyAlignment="1">
      <alignment wrapText="1"/>
    </xf>
    <xf numFmtId="0" fontId="0" fillId="5" borderId="6" xfId="0" applyFill="1" applyBorder="1"/>
    <xf numFmtId="0" fontId="4" fillId="5" borderId="6" xfId="0" applyFont="1" applyFill="1" applyBorder="1"/>
    <xf numFmtId="0" fontId="0" fillId="5" borderId="0" xfId="0" applyFill="1" applyAlignment="1">
      <alignment wrapText="1"/>
    </xf>
    <xf numFmtId="0" fontId="0" fillId="5" borderId="7" xfId="0" applyFill="1" applyBorder="1"/>
    <xf numFmtId="0" fontId="8" fillId="5" borderId="0" xfId="0" applyFont="1" applyFill="1"/>
    <xf numFmtId="1" fontId="0" fillId="5" borderId="3" xfId="0" applyNumberFormat="1" applyFill="1" applyBorder="1" applyAlignment="1">
      <alignment horizontal="center"/>
    </xf>
    <xf numFmtId="1" fontId="0" fillId="5" borderId="5" xfId="0" applyNumberFormat="1" applyFill="1" applyBorder="1" applyAlignment="1">
      <alignment horizontal="center"/>
    </xf>
    <xf numFmtId="9" fontId="1" fillId="5" borderId="5" xfId="1" applyFont="1" applyFill="1" applyBorder="1" applyAlignment="1">
      <alignment horizontal="center"/>
    </xf>
    <xf numFmtId="1" fontId="0" fillId="5" borderId="8" xfId="0" applyNumberFormat="1" applyFill="1" applyBorder="1" applyAlignment="1">
      <alignment horizontal="center"/>
    </xf>
    <xf numFmtId="0" fontId="4" fillId="5" borderId="7" xfId="0" applyFont="1" applyFill="1" applyBorder="1"/>
    <xf numFmtId="1" fontId="4" fillId="5" borderId="8" xfId="0" applyNumberFormat="1" applyFont="1" applyFill="1" applyBorder="1" applyAlignment="1">
      <alignment horizontal="center"/>
    </xf>
    <xf numFmtId="1" fontId="0" fillId="5" borderId="0" xfId="0" applyNumberFormat="1" applyFill="1" applyAlignment="1">
      <alignment horizontal="center"/>
    </xf>
    <xf numFmtId="0" fontId="0" fillId="5" borderId="3" xfId="0" applyFill="1" applyBorder="1"/>
    <xf numFmtId="0" fontId="0" fillId="5" borderId="5" xfId="0" applyFill="1" applyBorder="1"/>
    <xf numFmtId="0" fontId="4" fillId="5" borderId="4" xfId="0" applyFont="1" applyFill="1" applyBorder="1"/>
    <xf numFmtId="9" fontId="3" fillId="5" borderId="0" xfId="1" applyFont="1" applyFill="1" applyAlignment="1">
      <alignment horizontal="center"/>
    </xf>
    <xf numFmtId="0" fontId="4" fillId="5" borderId="0" xfId="0" applyFont="1" applyFill="1" applyAlignment="1">
      <alignment horizontal="center"/>
    </xf>
    <xf numFmtId="9" fontId="4" fillId="5" borderId="0" xfId="1" applyFont="1" applyFill="1" applyAlignment="1">
      <alignment horizontal="center"/>
    </xf>
    <xf numFmtId="0" fontId="4" fillId="5" borderId="5" xfId="0" applyFont="1" applyFill="1" applyBorder="1" applyAlignment="1">
      <alignment horizontal="center"/>
    </xf>
    <xf numFmtId="2" fontId="0" fillId="5" borderId="5" xfId="0" applyNumberFormat="1" applyFill="1" applyBorder="1" applyAlignment="1">
      <alignment horizontal="center"/>
    </xf>
    <xf numFmtId="9" fontId="0" fillId="5" borderId="0" xfId="0" applyNumberFormat="1" applyFill="1" applyAlignment="1">
      <alignment horizontal="center"/>
    </xf>
    <xf numFmtId="0" fontId="0" fillId="5" borderId="8" xfId="0" applyFill="1" applyBorder="1" applyAlignment="1">
      <alignment horizontal="center"/>
    </xf>
    <xf numFmtId="9" fontId="10" fillId="4" borderId="5" xfId="3" applyNumberFormat="1" applyFill="1" applyBorder="1" applyAlignment="1">
      <alignment horizontal="center"/>
    </xf>
    <xf numFmtId="0" fontId="3" fillId="4" borderId="5" xfId="0" applyFont="1" applyFill="1" applyBorder="1" applyAlignment="1">
      <alignment horizontal="center"/>
    </xf>
    <xf numFmtId="9" fontId="11" fillId="8" borderId="0" xfId="1" applyFont="1" applyFill="1" applyAlignment="1">
      <alignment horizontal="center"/>
    </xf>
    <xf numFmtId="164" fontId="0" fillId="0" borderId="0" xfId="0" applyNumberFormat="1" applyAlignment="1">
      <alignment horizontal="center"/>
    </xf>
    <xf numFmtId="1" fontId="0" fillId="0" borderId="0" xfId="0" applyNumberFormat="1"/>
    <xf numFmtId="1" fontId="0" fillId="8" borderId="0" xfId="0" applyNumberFormat="1" applyFill="1"/>
    <xf numFmtId="0" fontId="0" fillId="8" borderId="0" xfId="0" applyFill="1" applyAlignment="1">
      <alignment horizontal="center"/>
    </xf>
    <xf numFmtId="1" fontId="0" fillId="9" borderId="0" xfId="0" applyNumberFormat="1" applyFill="1" applyAlignment="1">
      <alignment horizontal="center"/>
    </xf>
    <xf numFmtId="1" fontId="0" fillId="4" borderId="0" xfId="0" applyNumberFormat="1" applyFill="1" applyAlignment="1">
      <alignment horizontal="center"/>
    </xf>
    <xf numFmtId="1" fontId="9" fillId="10" borderId="0" xfId="0" applyNumberFormat="1" applyFont="1" applyFill="1" applyAlignment="1">
      <alignment horizontal="center"/>
    </xf>
    <xf numFmtId="1" fontId="9" fillId="11" borderId="0" xfId="0" applyNumberFormat="1" applyFont="1" applyFill="1" applyAlignment="1">
      <alignment horizontal="center"/>
    </xf>
    <xf numFmtId="0" fontId="0" fillId="0" borderId="0" xfId="0" applyAlignment="1">
      <alignment horizontal="center"/>
    </xf>
    <xf numFmtId="9" fontId="1" fillId="0" borderId="0" xfId="1" applyFont="1" applyAlignment="1">
      <alignment horizontal="left"/>
    </xf>
  </cellXfs>
  <cellStyles count="4">
    <cellStyle name="Bueno" xfId="2" builtinId="26"/>
    <cellStyle name="Hipervínculo" xfId="3"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earth.google.com/web/search/RUEDA/@41.39521829,-4.97270799,767.44308771a,1284.32705574d,35y,-0h,0t,0r/data=CigiJgokCeOFCG5XpkRAEZpWpQhslERAGS-7UjN5URTAIagNUTJ1yhXA"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60086-839A-4A37-AC03-8029E0D74236}">
  <dimension ref="B2:R120"/>
  <sheetViews>
    <sheetView topLeftCell="A3" workbookViewId="0">
      <selection activeCell="C28" sqref="C28:C29"/>
    </sheetView>
  </sheetViews>
  <sheetFormatPr baseColWidth="10" defaultRowHeight="14.4" x14ac:dyDescent="0.3"/>
  <cols>
    <col min="2" max="2" width="6.5546875" style="1" customWidth="1"/>
    <col min="3" max="3" width="101" customWidth="1"/>
    <col min="4" max="4" width="6.88671875" customWidth="1"/>
    <col min="5" max="5" width="13.5546875" style="1" customWidth="1"/>
    <col min="6" max="6" width="27.88671875" style="14" customWidth="1"/>
    <col min="7" max="7" width="13.5546875" style="2" customWidth="1"/>
    <col min="8" max="8" width="13.21875" style="2" customWidth="1"/>
    <col min="9" max="9" width="11.5546875" style="2"/>
    <col min="10" max="12" width="11.5546875" style="1"/>
    <col min="13" max="13" width="16.5546875" customWidth="1"/>
    <col min="14" max="14" width="17" customWidth="1"/>
    <col min="15" max="15" width="20.77734375" customWidth="1"/>
    <col min="16" max="17" width="16.44140625" customWidth="1"/>
    <col min="18" max="18" width="15.33203125" customWidth="1"/>
  </cols>
  <sheetData>
    <row r="2" spans="3:15" x14ac:dyDescent="0.3">
      <c r="C2" s="5" t="s">
        <v>120</v>
      </c>
    </row>
    <row r="3" spans="3:15" ht="15" thickBot="1" x14ac:dyDescent="0.35"/>
    <row r="4" spans="3:15" x14ac:dyDescent="0.3">
      <c r="C4" s="30" t="s">
        <v>115</v>
      </c>
      <c r="D4" s="31"/>
      <c r="E4" s="16"/>
    </row>
    <row r="5" spans="3:15" x14ac:dyDescent="0.3">
      <c r="C5" s="17"/>
      <c r="E5" s="18"/>
    </row>
    <row r="6" spans="3:15" x14ac:dyDescent="0.3">
      <c r="C6" s="32" t="s">
        <v>0</v>
      </c>
      <c r="D6" s="33"/>
      <c r="E6" s="18" t="s">
        <v>85</v>
      </c>
      <c r="G6" s="2" t="s">
        <v>61</v>
      </c>
      <c r="H6" s="2" t="s">
        <v>86</v>
      </c>
      <c r="J6" s="1" t="s">
        <v>62</v>
      </c>
      <c r="K6" s="1" t="s">
        <v>63</v>
      </c>
    </row>
    <row r="7" spans="3:15" x14ac:dyDescent="0.3">
      <c r="C7" s="17"/>
      <c r="E7" s="18"/>
    </row>
    <row r="8" spans="3:15" x14ac:dyDescent="0.3">
      <c r="C8" s="17" t="s">
        <v>49</v>
      </c>
      <c r="E8" s="19" t="s">
        <v>64</v>
      </c>
    </row>
    <row r="9" spans="3:15" x14ac:dyDescent="0.3">
      <c r="C9" s="17" t="s">
        <v>48</v>
      </c>
      <c r="E9" s="20" t="s">
        <v>50</v>
      </c>
      <c r="H9" s="1"/>
      <c r="I9" s="1"/>
    </row>
    <row r="10" spans="3:15" x14ac:dyDescent="0.3">
      <c r="C10" s="17" t="s">
        <v>90</v>
      </c>
      <c r="E10" s="21">
        <v>20000</v>
      </c>
      <c r="G10" s="14"/>
      <c r="H10" s="14"/>
      <c r="I10"/>
    </row>
    <row r="11" spans="3:15" x14ac:dyDescent="0.3">
      <c r="C11" s="17" t="s">
        <v>94</v>
      </c>
      <c r="E11" s="21" t="s">
        <v>55</v>
      </c>
      <c r="G11" s="14"/>
      <c r="H11" s="14"/>
      <c r="I11"/>
    </row>
    <row r="12" spans="3:15" x14ac:dyDescent="0.3">
      <c r="C12" s="17" t="s">
        <v>95</v>
      </c>
      <c r="E12" s="21">
        <v>50</v>
      </c>
      <c r="G12" s="14"/>
      <c r="H12" s="14"/>
      <c r="I12"/>
    </row>
    <row r="13" spans="3:15" x14ac:dyDescent="0.3">
      <c r="C13" s="17"/>
      <c r="E13" s="22"/>
      <c r="H13" s="1"/>
      <c r="I13" s="1"/>
    </row>
    <row r="14" spans="3:15" x14ac:dyDescent="0.3">
      <c r="C14" s="17" t="s">
        <v>14</v>
      </c>
      <c r="E14" s="19">
        <v>20</v>
      </c>
      <c r="H14" s="1"/>
      <c r="I14" s="1"/>
    </row>
    <row r="15" spans="3:15" x14ac:dyDescent="0.3">
      <c r="C15" s="17" t="s">
        <v>80</v>
      </c>
      <c r="E15" s="20">
        <v>1</v>
      </c>
      <c r="H15" s="1"/>
      <c r="I15" s="1"/>
      <c r="M15" s="1"/>
      <c r="N15" s="1"/>
      <c r="O15" s="1"/>
    </row>
    <row r="16" spans="3:15" x14ac:dyDescent="0.3">
      <c r="C16" s="17" t="s">
        <v>81</v>
      </c>
      <c r="E16" s="20">
        <v>0</v>
      </c>
      <c r="H16" s="1"/>
      <c r="I16" s="1"/>
      <c r="M16" s="1"/>
      <c r="N16" s="1"/>
      <c r="O16" s="1"/>
    </row>
    <row r="17" spans="3:18" x14ac:dyDescent="0.3">
      <c r="C17" s="17"/>
      <c r="E17" s="18"/>
      <c r="H17" s="1"/>
      <c r="I17" s="1"/>
      <c r="M17" s="1"/>
      <c r="N17" s="1"/>
      <c r="O17" s="1"/>
    </row>
    <row r="18" spans="3:18" x14ac:dyDescent="0.3">
      <c r="C18" s="17" t="s">
        <v>78</v>
      </c>
      <c r="E18" s="18" t="s">
        <v>13</v>
      </c>
      <c r="H18" s="1"/>
      <c r="I18" s="1"/>
      <c r="J18" s="8"/>
      <c r="M18" t="s">
        <v>2</v>
      </c>
    </row>
    <row r="19" spans="3:18" x14ac:dyDescent="0.3">
      <c r="C19" s="17" t="s">
        <v>15</v>
      </c>
      <c r="E19" s="23">
        <v>100</v>
      </c>
      <c r="I19" s="1"/>
      <c r="M19" t="s">
        <v>2</v>
      </c>
    </row>
    <row r="20" spans="3:18" x14ac:dyDescent="0.3">
      <c r="C20" s="17" t="s">
        <v>76</v>
      </c>
      <c r="E20" s="23">
        <v>50</v>
      </c>
      <c r="H20" s="1"/>
      <c r="I20" s="1"/>
      <c r="M20" s="92"/>
      <c r="N20" s="92"/>
      <c r="O20" s="92"/>
      <c r="P20" s="92"/>
      <c r="Q20" s="92"/>
      <c r="R20" s="92"/>
    </row>
    <row r="21" spans="3:18" x14ac:dyDescent="0.3">
      <c r="C21" s="17" t="s">
        <v>77</v>
      </c>
      <c r="E21" s="24">
        <f>E19-10+E20</f>
        <v>140</v>
      </c>
      <c r="H21" s="1"/>
      <c r="I21" s="1"/>
      <c r="M21" s="92"/>
      <c r="N21" s="92"/>
      <c r="O21" s="92"/>
      <c r="P21" s="92"/>
      <c r="Q21" s="92"/>
      <c r="R21" s="92"/>
    </row>
    <row r="22" spans="3:18" x14ac:dyDescent="0.3">
      <c r="C22" s="17" t="s">
        <v>84</v>
      </c>
      <c r="E22" s="19">
        <v>60000</v>
      </c>
      <c r="H22" s="1"/>
      <c r="I22" s="1"/>
      <c r="M22" t="s">
        <v>4</v>
      </c>
    </row>
    <row r="23" spans="3:18" x14ac:dyDescent="0.3">
      <c r="C23" s="17"/>
      <c r="E23" s="22"/>
    </row>
    <row r="24" spans="3:18" x14ac:dyDescent="0.3">
      <c r="C24" s="17" t="s">
        <v>82</v>
      </c>
      <c r="E24" s="20" t="s">
        <v>16</v>
      </c>
      <c r="H24" s="1"/>
      <c r="I24" s="1"/>
      <c r="M24" s="1" t="s">
        <v>5</v>
      </c>
      <c r="N24" s="1" t="s">
        <v>6</v>
      </c>
      <c r="O24" s="1"/>
    </row>
    <row r="25" spans="3:18" x14ac:dyDescent="0.3">
      <c r="C25" s="17" t="s">
        <v>83</v>
      </c>
      <c r="E25" s="20" t="s">
        <v>17</v>
      </c>
      <c r="H25" s="1"/>
      <c r="I25" s="1"/>
      <c r="M25" s="1" t="s">
        <v>7</v>
      </c>
      <c r="N25" s="1" t="s">
        <v>8</v>
      </c>
      <c r="O25" s="1" t="s">
        <v>9</v>
      </c>
    </row>
    <row r="26" spans="3:18" x14ac:dyDescent="0.3">
      <c r="C26" s="17" t="s">
        <v>91</v>
      </c>
      <c r="E26" s="19">
        <v>48</v>
      </c>
      <c r="H26" s="1"/>
      <c r="I26" s="1"/>
      <c r="M26" s="92" t="s">
        <v>79</v>
      </c>
      <c r="N26" s="92"/>
      <c r="O26" s="92"/>
      <c r="P26" s="92"/>
      <c r="Q26" s="92"/>
    </row>
    <row r="27" spans="3:18" x14ac:dyDescent="0.3">
      <c r="C27" s="17"/>
      <c r="E27" s="18"/>
    </row>
    <row r="28" spans="3:18" x14ac:dyDescent="0.3">
      <c r="C28" s="17"/>
      <c r="E28" s="18"/>
      <c r="H28" s="1"/>
      <c r="I28" s="1"/>
    </row>
    <row r="29" spans="3:18" x14ac:dyDescent="0.3">
      <c r="C29" s="17" t="s">
        <v>75</v>
      </c>
      <c r="E29" s="19" t="s">
        <v>13</v>
      </c>
      <c r="G29" s="2">
        <v>0.1</v>
      </c>
      <c r="H29" s="1">
        <f>E21-G29*E21</f>
        <v>126</v>
      </c>
      <c r="I29" s="2">
        <f>1-H29/$E$21</f>
        <v>9.9999999999999978E-2</v>
      </c>
      <c r="J29" s="11">
        <f>I29-I27</f>
        <v>9.9999999999999978E-2</v>
      </c>
      <c r="K29" s="11">
        <f>J29</f>
        <v>9.9999999999999978E-2</v>
      </c>
      <c r="L29" s="1">
        <v>4500</v>
      </c>
      <c r="M29" s="1" t="s">
        <v>66</v>
      </c>
      <c r="N29" s="1" t="s">
        <v>65</v>
      </c>
      <c r="O29" s="1" t="s">
        <v>3</v>
      </c>
      <c r="P29" s="1" t="s">
        <v>10</v>
      </c>
      <c r="Q29" s="1" t="s">
        <v>13</v>
      </c>
      <c r="R29" s="1"/>
    </row>
    <row r="30" spans="3:18" x14ac:dyDescent="0.3">
      <c r="C30" s="17"/>
      <c r="E30" s="18"/>
      <c r="H30" s="1"/>
      <c r="M30" s="1">
        <v>10</v>
      </c>
      <c r="N30" s="1">
        <v>10</v>
      </c>
      <c r="O30" s="1">
        <v>10</v>
      </c>
      <c r="P30" s="1">
        <v>0</v>
      </c>
      <c r="Q30" s="1">
        <v>10</v>
      </c>
    </row>
    <row r="31" spans="3:18" x14ac:dyDescent="0.3">
      <c r="C31" s="17" t="s">
        <v>29</v>
      </c>
      <c r="E31" s="19" t="s">
        <v>26</v>
      </c>
      <c r="G31" s="2">
        <v>0</v>
      </c>
      <c r="H31" s="3">
        <f>H29-G31*H29</f>
        <v>126</v>
      </c>
      <c r="I31" s="2">
        <f>1-H31/$E$21</f>
        <v>9.9999999999999978E-2</v>
      </c>
      <c r="J31" s="11">
        <f>I31-I29</f>
        <v>0</v>
      </c>
      <c r="K31" s="11">
        <f>J31</f>
        <v>0</v>
      </c>
      <c r="L31" s="3">
        <v>0</v>
      </c>
      <c r="M31" s="1" t="s">
        <v>25</v>
      </c>
      <c r="N31" s="1" t="s">
        <v>26</v>
      </c>
      <c r="O31" s="1" t="s">
        <v>27</v>
      </c>
      <c r="P31" s="1" t="s">
        <v>28</v>
      </c>
      <c r="R31" s="1"/>
    </row>
    <row r="32" spans="3:18" x14ac:dyDescent="0.3">
      <c r="C32" s="17"/>
      <c r="E32" s="18"/>
      <c r="H32" s="1"/>
      <c r="K32" s="11"/>
      <c r="M32" s="1">
        <v>10</v>
      </c>
      <c r="N32" s="1">
        <v>0</v>
      </c>
      <c r="O32" s="1">
        <v>3</v>
      </c>
      <c r="P32" s="1">
        <v>6</v>
      </c>
    </row>
    <row r="33" spans="2:18" x14ac:dyDescent="0.3">
      <c r="C33" s="17" t="s">
        <v>23</v>
      </c>
      <c r="E33" s="19">
        <v>4</v>
      </c>
      <c r="G33" s="2">
        <f>(E33-2.5)*10/E21*E16</f>
        <v>0</v>
      </c>
      <c r="H33" s="3">
        <f>H31-G33*H31</f>
        <v>126</v>
      </c>
      <c r="I33" s="2">
        <f>1-H33/$E$21</f>
        <v>9.9999999999999978E-2</v>
      </c>
      <c r="J33" s="11">
        <f>I33-I31</f>
        <v>0</v>
      </c>
      <c r="K33" s="11">
        <f t="shared" ref="K33:K41" si="0">J33</f>
        <v>0</v>
      </c>
      <c r="L33" s="3">
        <v>0</v>
      </c>
      <c r="M33" s="92" t="s">
        <v>18</v>
      </c>
      <c r="N33" s="92"/>
      <c r="O33" s="92"/>
      <c r="P33" s="92"/>
      <c r="Q33" s="92"/>
    </row>
    <row r="34" spans="2:18" x14ac:dyDescent="0.3">
      <c r="C34" s="17"/>
      <c r="E34" s="18"/>
      <c r="H34" s="3"/>
      <c r="K34" s="11"/>
      <c r="L34" s="3"/>
      <c r="M34" s="92" t="s">
        <v>67</v>
      </c>
      <c r="N34" s="92"/>
      <c r="O34" s="92"/>
      <c r="P34" s="92"/>
      <c r="Q34" s="92"/>
    </row>
    <row r="35" spans="2:18" x14ac:dyDescent="0.3">
      <c r="B35" s="1" t="s">
        <v>43</v>
      </c>
      <c r="C35" s="17" t="s">
        <v>38</v>
      </c>
      <c r="E35" s="19">
        <v>5</v>
      </c>
      <c r="G35" s="2">
        <f>(E35-2)*10/E21*E15</f>
        <v>0.21428571428571427</v>
      </c>
      <c r="H35" s="3">
        <f>H33-G35*H33</f>
        <v>99</v>
      </c>
      <c r="I35" s="2">
        <f>1-H35/$E$21</f>
        <v>0.29285714285714282</v>
      </c>
      <c r="J35" s="11">
        <f>I35-I33</f>
        <v>0.19285714285714284</v>
      </c>
      <c r="K35" s="11">
        <f t="shared" si="0"/>
        <v>0.19285714285714284</v>
      </c>
      <c r="L35" s="3">
        <v>5000</v>
      </c>
      <c r="M35" s="92" t="s">
        <v>18</v>
      </c>
      <c r="N35" s="92"/>
      <c r="O35" s="92"/>
      <c r="P35" s="92"/>
      <c r="Q35" s="92"/>
    </row>
    <row r="36" spans="2:18" x14ac:dyDescent="0.3">
      <c r="C36" s="17"/>
      <c r="E36" s="18"/>
      <c r="K36" s="11"/>
      <c r="L36" s="2"/>
      <c r="M36" s="92" t="s">
        <v>68</v>
      </c>
      <c r="N36" s="92"/>
      <c r="O36" s="92"/>
      <c r="P36" s="92"/>
      <c r="Q36" s="92"/>
    </row>
    <row r="37" spans="2:18" x14ac:dyDescent="0.3">
      <c r="C37" s="17" t="s">
        <v>31</v>
      </c>
      <c r="E37" s="19" t="s">
        <v>1</v>
      </c>
      <c r="G37" s="2">
        <v>0.05</v>
      </c>
      <c r="H37" s="3">
        <f>H35-G37*H33</f>
        <v>92.7</v>
      </c>
      <c r="I37" s="2">
        <f>1-H37/$E$21</f>
        <v>0.33785714285714286</v>
      </c>
      <c r="J37" s="11">
        <f>I37-I35</f>
        <v>4.500000000000004E-2</v>
      </c>
      <c r="K37" s="11"/>
      <c r="L37" s="3">
        <v>3000</v>
      </c>
      <c r="M37" s="1" t="s">
        <v>11</v>
      </c>
      <c r="N37" s="1" t="s">
        <v>1</v>
      </c>
      <c r="O37" s="1"/>
      <c r="P37" s="1"/>
      <c r="Q37" s="1"/>
    </row>
    <row r="38" spans="2:18" x14ac:dyDescent="0.3">
      <c r="C38" s="17"/>
      <c r="E38" s="18"/>
      <c r="K38" s="11"/>
      <c r="L38" s="2"/>
      <c r="M38" s="1">
        <v>0</v>
      </c>
      <c r="N38" s="1">
        <v>5</v>
      </c>
    </row>
    <row r="39" spans="2:18" x14ac:dyDescent="0.3">
      <c r="C39" s="25" t="s">
        <v>34</v>
      </c>
      <c r="D39" s="26"/>
      <c r="E39" s="19" t="s">
        <v>36</v>
      </c>
      <c r="G39" s="2">
        <v>0.05</v>
      </c>
      <c r="H39" s="3">
        <f>H37-G39*H37</f>
        <v>88.064999999999998</v>
      </c>
      <c r="I39" s="2">
        <f>1-H39/$E$21</f>
        <v>0.37096428571428575</v>
      </c>
      <c r="J39" s="11">
        <f>I39-I37</f>
        <v>3.3107142857142891E-2</v>
      </c>
      <c r="K39" s="11"/>
      <c r="L39" s="3">
        <v>4000</v>
      </c>
      <c r="M39" s="1" t="s">
        <v>32</v>
      </c>
      <c r="N39" s="1" t="s">
        <v>69</v>
      </c>
      <c r="O39" s="1" t="s">
        <v>33</v>
      </c>
      <c r="P39" s="1" t="s">
        <v>35</v>
      </c>
      <c r="Q39" s="1" t="s">
        <v>36</v>
      </c>
    </row>
    <row r="40" spans="2:18" x14ac:dyDescent="0.3">
      <c r="C40" s="17"/>
      <c r="E40" s="18"/>
      <c r="K40" s="11"/>
      <c r="L40" s="2"/>
    </row>
    <row r="41" spans="2:18" ht="15" thickBot="1" x14ac:dyDescent="0.35">
      <c r="C41" s="27" t="s">
        <v>12</v>
      </c>
      <c r="D41" s="28"/>
      <c r="E41" s="29">
        <v>18</v>
      </c>
      <c r="G41" s="2">
        <v>0.19</v>
      </c>
      <c r="H41" s="3">
        <f>H39-H39*G41</f>
        <v>71.332650000000001</v>
      </c>
      <c r="I41" s="2">
        <f>1-H41/$E$21</f>
        <v>0.49048107142857145</v>
      </c>
      <c r="J41" s="11">
        <f>I41-I39</f>
        <v>0.1195167857142857</v>
      </c>
      <c r="K41" s="11">
        <f t="shared" si="0"/>
        <v>0.1195167857142857</v>
      </c>
      <c r="L41" s="3">
        <v>9000</v>
      </c>
      <c r="M41" s="9" t="s">
        <v>70</v>
      </c>
      <c r="N41" s="10" t="s">
        <v>73</v>
      </c>
      <c r="O41" s="10" t="s">
        <v>74</v>
      </c>
      <c r="P41" s="9" t="s">
        <v>71</v>
      </c>
      <c r="Q41" s="9" t="s">
        <v>72</v>
      </c>
      <c r="R41" s="9" t="s">
        <v>13</v>
      </c>
    </row>
    <row r="42" spans="2:18" ht="15" thickBot="1" x14ac:dyDescent="0.35">
      <c r="M42" s="1">
        <v>10</v>
      </c>
      <c r="N42" s="1">
        <v>13</v>
      </c>
      <c r="O42" s="1">
        <v>16</v>
      </c>
      <c r="P42" s="1">
        <v>19</v>
      </c>
      <c r="Q42" s="1">
        <v>22</v>
      </c>
      <c r="R42" s="1">
        <v>15</v>
      </c>
    </row>
    <row r="43" spans="2:18" x14ac:dyDescent="0.3">
      <c r="C43" s="30" t="s">
        <v>118</v>
      </c>
      <c r="D43" s="31"/>
      <c r="E43" s="16"/>
      <c r="M43" s="1">
        <v>0</v>
      </c>
      <c r="N43" s="1">
        <v>5</v>
      </c>
    </row>
    <row r="44" spans="2:18" x14ac:dyDescent="0.3">
      <c r="C44" s="17"/>
      <c r="E44" s="18"/>
      <c r="L44" s="3"/>
    </row>
    <row r="45" spans="2:18" s="5" customFormat="1" x14ac:dyDescent="0.3">
      <c r="B45" s="4"/>
      <c r="C45" s="17"/>
      <c r="E45" s="18"/>
      <c r="F45" s="14"/>
      <c r="G45" s="6"/>
      <c r="H45" s="6"/>
      <c r="J45" s="4"/>
      <c r="K45" s="2">
        <f>SUM(K29:K41)</f>
        <v>0.41237392857142852</v>
      </c>
      <c r="L45" s="1">
        <f>SUM(L29:L41)</f>
        <v>25500</v>
      </c>
    </row>
    <row r="46" spans="2:18" s="5" customFormat="1" x14ac:dyDescent="0.3">
      <c r="B46" s="4"/>
      <c r="C46" s="17" t="s">
        <v>87</v>
      </c>
      <c r="D46"/>
      <c r="E46" s="34">
        <f>I41</f>
        <v>0.49048107142857145</v>
      </c>
      <c r="F46" s="14"/>
      <c r="G46" s="6"/>
      <c r="H46" s="6"/>
      <c r="J46" s="4"/>
      <c r="K46" s="4"/>
      <c r="L46" s="3"/>
    </row>
    <row r="47" spans="2:18" x14ac:dyDescent="0.3">
      <c r="C47" s="17" t="s">
        <v>89</v>
      </c>
      <c r="E47" s="35">
        <f>(1-K45)*E26</f>
        <v>28.206051428571431</v>
      </c>
    </row>
    <row r="48" spans="2:18" s="5" customFormat="1" x14ac:dyDescent="0.3">
      <c r="B48" s="4"/>
      <c r="C48" s="17"/>
      <c r="D48"/>
      <c r="E48" s="18"/>
      <c r="F48" s="14"/>
      <c r="G48" s="6"/>
      <c r="H48" s="6"/>
      <c r="I48" s="6"/>
      <c r="J48" s="4"/>
      <c r="K48" s="4"/>
      <c r="L48" s="4"/>
    </row>
    <row r="49" spans="2:12" x14ac:dyDescent="0.3">
      <c r="C49" s="17" t="s">
        <v>88</v>
      </c>
      <c r="E49" s="35">
        <f>E10</f>
        <v>20000</v>
      </c>
    </row>
    <row r="50" spans="2:12" s="5" customFormat="1" x14ac:dyDescent="0.3">
      <c r="B50" s="4"/>
      <c r="C50" s="17" t="s">
        <v>92</v>
      </c>
      <c r="D50"/>
      <c r="E50" s="35">
        <f>-E10*E46</f>
        <v>-9809.6214285714286</v>
      </c>
      <c r="F50" s="14"/>
      <c r="G50" s="6"/>
      <c r="H50" s="6"/>
      <c r="I50" s="13"/>
      <c r="J50" s="4"/>
      <c r="K50" s="4"/>
      <c r="L50" s="4"/>
    </row>
    <row r="51" spans="2:12" x14ac:dyDescent="0.3">
      <c r="C51" s="17" t="s">
        <v>93</v>
      </c>
      <c r="E51" s="35">
        <f>-73.27*7</f>
        <v>-512.89</v>
      </c>
      <c r="G51" s="14"/>
      <c r="H51" s="14"/>
      <c r="I51"/>
    </row>
    <row r="52" spans="2:12" x14ac:dyDescent="0.3">
      <c r="C52" s="17" t="s">
        <v>96</v>
      </c>
      <c r="E52" s="35">
        <f>SUM(E49:E51)</f>
        <v>9677.488571428572</v>
      </c>
      <c r="G52" s="14"/>
      <c r="H52" s="14"/>
      <c r="I52"/>
    </row>
    <row r="53" spans="2:12" x14ac:dyDescent="0.3">
      <c r="C53" s="17" t="s">
        <v>100</v>
      </c>
      <c r="E53" s="34">
        <f>(E49-E52)/E49</f>
        <v>0.51612557142857141</v>
      </c>
      <c r="G53" s="14"/>
      <c r="H53" s="14"/>
      <c r="I53"/>
    </row>
    <row r="54" spans="2:12" x14ac:dyDescent="0.3">
      <c r="C54" s="17"/>
      <c r="E54" s="36"/>
      <c r="G54" s="14"/>
      <c r="H54" s="14"/>
      <c r="I54"/>
    </row>
    <row r="55" spans="2:12" x14ac:dyDescent="0.3">
      <c r="B55"/>
      <c r="C55" s="17" t="s">
        <v>97</v>
      </c>
      <c r="E55" s="35">
        <f>L45</f>
        <v>25500</v>
      </c>
      <c r="G55" s="15"/>
      <c r="H55"/>
      <c r="I55"/>
    </row>
    <row r="56" spans="2:12" x14ac:dyDescent="0.3">
      <c r="C56" s="17" t="s">
        <v>103</v>
      </c>
      <c r="D56" s="37">
        <v>0.3</v>
      </c>
      <c r="E56" s="35">
        <f>E55*-0.3</f>
        <v>-7650</v>
      </c>
      <c r="G56" s="14"/>
      <c r="H56" s="14"/>
      <c r="I56"/>
    </row>
    <row r="57" spans="2:12" x14ac:dyDescent="0.3">
      <c r="C57" s="17" t="s">
        <v>98</v>
      </c>
      <c r="E57" s="35">
        <f>E55+E56</f>
        <v>17850</v>
      </c>
      <c r="G57" s="14"/>
      <c r="H57" s="14"/>
      <c r="I57"/>
    </row>
    <row r="58" spans="2:12" ht="15" thickBot="1" x14ac:dyDescent="0.35">
      <c r="C58" s="38"/>
      <c r="D58" s="39"/>
      <c r="E58" s="40"/>
      <c r="G58" s="14"/>
      <c r="H58" s="14"/>
      <c r="I58"/>
    </row>
    <row r="59" spans="2:12" x14ac:dyDescent="0.3">
      <c r="E59" s="3"/>
      <c r="G59" s="14"/>
      <c r="H59" s="14"/>
      <c r="I59"/>
    </row>
    <row r="60" spans="2:12" ht="15" thickBot="1" x14ac:dyDescent="0.35">
      <c r="D60" s="5"/>
      <c r="E60" s="3"/>
      <c r="G60" s="14"/>
      <c r="H60" s="14"/>
      <c r="I60"/>
    </row>
    <row r="61" spans="2:12" x14ac:dyDescent="0.3">
      <c r="C61" s="30" t="s">
        <v>119</v>
      </c>
      <c r="D61" s="31"/>
      <c r="E61" s="41"/>
      <c r="G61" s="14"/>
      <c r="H61" s="14"/>
      <c r="I61"/>
    </row>
    <row r="62" spans="2:12" x14ac:dyDescent="0.3">
      <c r="C62" s="17"/>
      <c r="E62" s="42"/>
      <c r="G62" s="14"/>
      <c r="H62" s="14"/>
      <c r="I62"/>
    </row>
    <row r="63" spans="2:12" s="5" customFormat="1" x14ac:dyDescent="0.3">
      <c r="B63" s="4"/>
      <c r="C63" s="17"/>
      <c r="D63"/>
      <c r="E63" s="42"/>
      <c r="F63" s="14"/>
      <c r="G63" s="6"/>
      <c r="H63" s="6"/>
      <c r="I63" s="6"/>
      <c r="J63" s="4"/>
      <c r="K63" s="4"/>
      <c r="L63" s="4"/>
    </row>
    <row r="64" spans="2:12" x14ac:dyDescent="0.3">
      <c r="C64" s="17" t="s">
        <v>88</v>
      </c>
      <c r="E64" s="42">
        <f>E52</f>
        <v>9677.488571428572</v>
      </c>
      <c r="G64" s="15" t="s">
        <v>61</v>
      </c>
      <c r="H64" s="2">
        <v>0.4</v>
      </c>
    </row>
    <row r="65" spans="2:10" x14ac:dyDescent="0.3">
      <c r="C65" s="17" t="s">
        <v>104</v>
      </c>
      <c r="E65" s="42">
        <f>-E49*H64</f>
        <v>-8000</v>
      </c>
      <c r="G65" s="14"/>
      <c r="H65" s="14"/>
      <c r="I65"/>
    </row>
    <row r="66" spans="2:10" x14ac:dyDescent="0.3">
      <c r="C66" s="17" t="s">
        <v>96</v>
      </c>
      <c r="E66" s="42">
        <f>E64+E65</f>
        <v>1677.488571428572</v>
      </c>
      <c r="G66" s="14"/>
      <c r="H66" s="14"/>
      <c r="I66"/>
    </row>
    <row r="67" spans="2:10" x14ac:dyDescent="0.3">
      <c r="C67" s="17" t="s">
        <v>101</v>
      </c>
      <c r="E67" s="36">
        <f>-E65/E10</f>
        <v>0.4</v>
      </c>
      <c r="G67" s="14"/>
      <c r="H67" s="14"/>
      <c r="I67"/>
    </row>
    <row r="68" spans="2:10" x14ac:dyDescent="0.3">
      <c r="B68"/>
      <c r="C68" s="17"/>
      <c r="E68" s="42"/>
      <c r="G68" t="s">
        <v>109</v>
      </c>
      <c r="H68"/>
      <c r="I68" s="1">
        <v>2.5</v>
      </c>
    </row>
    <row r="69" spans="2:10" x14ac:dyDescent="0.3">
      <c r="B69"/>
      <c r="C69" s="17" t="s">
        <v>102</v>
      </c>
      <c r="E69" s="42">
        <f>E47*2.5</f>
        <v>70.515128571428576</v>
      </c>
      <c r="G69" t="s">
        <v>110</v>
      </c>
      <c r="H69"/>
      <c r="I69" s="1">
        <v>1</v>
      </c>
    </row>
    <row r="70" spans="2:10" x14ac:dyDescent="0.3">
      <c r="B70"/>
      <c r="C70" s="17" t="s">
        <v>97</v>
      </c>
      <c r="E70" s="42">
        <f>I69*E69*1000</f>
        <v>70515.128571428577</v>
      </c>
      <c r="G70"/>
      <c r="H70"/>
      <c r="I70"/>
    </row>
    <row r="71" spans="2:10" x14ac:dyDescent="0.3">
      <c r="C71" s="17" t="s">
        <v>103</v>
      </c>
      <c r="D71" s="37">
        <v>0</v>
      </c>
      <c r="E71" s="42">
        <f>E70*-D71</f>
        <v>0</v>
      </c>
      <c r="G71" s="14"/>
      <c r="H71" s="14"/>
      <c r="I71"/>
    </row>
    <row r="72" spans="2:10" x14ac:dyDescent="0.3">
      <c r="C72" s="17" t="s">
        <v>98</v>
      </c>
      <c r="E72" s="42">
        <f>E70+E71</f>
        <v>70515.128571428577</v>
      </c>
      <c r="G72" s="14" t="s">
        <v>105</v>
      </c>
      <c r="H72" t="s">
        <v>106</v>
      </c>
      <c r="I72" t="s">
        <v>107</v>
      </c>
    </row>
    <row r="73" spans="2:10" x14ac:dyDescent="0.3">
      <c r="C73" s="17"/>
      <c r="E73" s="42"/>
      <c r="G73" s="1">
        <v>1480</v>
      </c>
      <c r="H73" s="2">
        <v>0.4</v>
      </c>
      <c r="I73" s="1">
        <v>0.12</v>
      </c>
      <c r="J73"/>
    </row>
    <row r="74" spans="2:10" ht="15" thickBot="1" x14ac:dyDescent="0.35">
      <c r="C74" s="27" t="s">
        <v>108</v>
      </c>
      <c r="D74" s="28"/>
      <c r="E74" s="40">
        <f>H73*G73*I73*E69</f>
        <v>5009.3947337142854</v>
      </c>
      <c r="G74" s="14"/>
      <c r="H74" s="14"/>
      <c r="I74"/>
    </row>
    <row r="75" spans="2:10" x14ac:dyDescent="0.3">
      <c r="B75"/>
      <c r="C75" s="5"/>
      <c r="D75" s="5"/>
      <c r="E75" s="3"/>
      <c r="G75"/>
      <c r="H75"/>
      <c r="I75"/>
    </row>
    <row r="76" spans="2:10" ht="15" thickBot="1" x14ac:dyDescent="0.35">
      <c r="E76"/>
      <c r="G76" s="14"/>
      <c r="H76" s="14"/>
      <c r="I76"/>
    </row>
    <row r="77" spans="2:10" x14ac:dyDescent="0.3">
      <c r="C77" s="30" t="s">
        <v>116</v>
      </c>
      <c r="D77" s="31"/>
      <c r="E77" s="41"/>
      <c r="G77" s="14"/>
      <c r="H77" s="14"/>
      <c r="I77"/>
    </row>
    <row r="78" spans="2:10" x14ac:dyDescent="0.3">
      <c r="C78" s="17"/>
      <c r="E78" s="42"/>
      <c r="G78" s="14"/>
      <c r="H78" s="14"/>
      <c r="I78"/>
    </row>
    <row r="79" spans="2:10" x14ac:dyDescent="0.3">
      <c r="C79" s="17" t="s">
        <v>113</v>
      </c>
      <c r="E79" s="42">
        <f>E10</f>
        <v>20000</v>
      </c>
      <c r="G79" s="14"/>
      <c r="H79" s="14"/>
      <c r="I79"/>
    </row>
    <row r="80" spans="2:10" x14ac:dyDescent="0.3">
      <c r="C80" s="17" t="s">
        <v>111</v>
      </c>
      <c r="E80" s="42">
        <f>E50+E51</f>
        <v>-10322.511428571428</v>
      </c>
      <c r="G80" s="14"/>
      <c r="H80" s="14"/>
      <c r="I80"/>
    </row>
    <row r="81" spans="2:12" x14ac:dyDescent="0.3">
      <c r="C81" s="17" t="s">
        <v>99</v>
      </c>
      <c r="E81" s="42">
        <f>E65</f>
        <v>-8000</v>
      </c>
      <c r="G81" s="14"/>
      <c r="H81" s="14"/>
      <c r="I81"/>
    </row>
    <row r="82" spans="2:12" x14ac:dyDescent="0.3">
      <c r="C82" s="17" t="s">
        <v>112</v>
      </c>
      <c r="E82" s="42">
        <f>-E74</f>
        <v>-5009.3947337142854</v>
      </c>
    </row>
    <row r="83" spans="2:12" ht="15" thickBot="1" x14ac:dyDescent="0.35">
      <c r="C83" s="27" t="s">
        <v>114</v>
      </c>
      <c r="D83" s="28"/>
      <c r="E83" s="40">
        <f>SUM(E79:E82)</f>
        <v>-3331.9061622857134</v>
      </c>
    </row>
    <row r="84" spans="2:12" x14ac:dyDescent="0.3">
      <c r="E84"/>
    </row>
    <row r="85" spans="2:12" ht="15" thickBot="1" x14ac:dyDescent="0.35">
      <c r="E85"/>
      <c r="G85" s="14"/>
      <c r="H85" s="14"/>
      <c r="I85"/>
    </row>
    <row r="86" spans="2:12" x14ac:dyDescent="0.3">
      <c r="C86" s="30" t="s">
        <v>117</v>
      </c>
      <c r="D86" s="31"/>
      <c r="E86" s="45"/>
      <c r="G86" s="14"/>
      <c r="H86" s="14"/>
      <c r="I86"/>
    </row>
    <row r="87" spans="2:12" x14ac:dyDescent="0.3">
      <c r="C87" s="17"/>
      <c r="E87" s="46"/>
      <c r="G87" s="14"/>
      <c r="H87" s="14"/>
      <c r="I87"/>
    </row>
    <row r="88" spans="2:12" x14ac:dyDescent="0.3">
      <c r="C88" s="17" t="s">
        <v>20</v>
      </c>
      <c r="E88" s="18"/>
      <c r="G88" s="14"/>
      <c r="H88" s="14"/>
      <c r="I88"/>
    </row>
    <row r="89" spans="2:12" hidden="1" x14ac:dyDescent="0.3">
      <c r="C89" s="17" t="s">
        <v>21</v>
      </c>
      <c r="E89" s="18"/>
    </row>
    <row r="90" spans="2:12" hidden="1" x14ac:dyDescent="0.3">
      <c r="C90" s="17" t="s">
        <v>22</v>
      </c>
      <c r="E90" s="18"/>
      <c r="H90" s="3">
        <f>H41</f>
        <v>71.332650000000001</v>
      </c>
      <c r="I90" s="3"/>
    </row>
    <row r="91" spans="2:12" hidden="1" x14ac:dyDescent="0.3">
      <c r="C91" s="43"/>
      <c r="D91" s="5"/>
      <c r="E91" s="42"/>
      <c r="G91" s="7">
        <f>SUM(G29:G44)</f>
        <v>0.60428571428571431</v>
      </c>
      <c r="H91" s="2">
        <f>1-H90/E21</f>
        <v>0.49048107142857145</v>
      </c>
      <c r="J91" s="3">
        <f>H91*J101</f>
        <v>11281.064642857144</v>
      </c>
    </row>
    <row r="92" spans="2:12" hidden="1" x14ac:dyDescent="0.3">
      <c r="C92" s="17"/>
      <c r="E92" s="18"/>
    </row>
    <row r="93" spans="2:12" s="5" customFormat="1" hidden="1" x14ac:dyDescent="0.3">
      <c r="B93" s="4"/>
      <c r="C93" s="17" t="s">
        <v>51</v>
      </c>
      <c r="D93"/>
      <c r="E93" s="18"/>
      <c r="F93" s="14"/>
      <c r="G93" s="6"/>
      <c r="H93" s="6"/>
      <c r="I93" s="6"/>
      <c r="J93" s="4"/>
      <c r="K93" s="4"/>
      <c r="L93" s="4"/>
    </row>
    <row r="94" spans="2:12" hidden="1" x14ac:dyDescent="0.3">
      <c r="C94" s="17" t="s">
        <v>37</v>
      </c>
      <c r="E94" s="18"/>
    </row>
    <row r="95" spans="2:12" hidden="1" x14ac:dyDescent="0.3">
      <c r="C95" s="17"/>
      <c r="E95" s="18"/>
    </row>
    <row r="96" spans="2:12" hidden="1" x14ac:dyDescent="0.3">
      <c r="C96" s="43" t="s">
        <v>53</v>
      </c>
      <c r="D96" s="5"/>
      <c r="E96" s="47"/>
    </row>
    <row r="97" spans="2:18" hidden="1" x14ac:dyDescent="0.3">
      <c r="C97" s="17" t="s">
        <v>54</v>
      </c>
      <c r="E97" s="48">
        <f>E26*0.736*1.05</f>
        <v>37.094400000000007</v>
      </c>
      <c r="G97" s="2">
        <f>H91</f>
        <v>0.49048107142857145</v>
      </c>
      <c r="H97" s="3">
        <f>E97*H91</f>
        <v>18.194101056000004</v>
      </c>
      <c r="I97" s="3"/>
    </row>
    <row r="98" spans="2:18" hidden="1" x14ac:dyDescent="0.3">
      <c r="C98" s="17" t="s">
        <v>57</v>
      </c>
      <c r="E98" s="18" t="s">
        <v>55</v>
      </c>
    </row>
    <row r="99" spans="2:18" hidden="1" x14ac:dyDescent="0.3">
      <c r="C99" s="17" t="s">
        <v>56</v>
      </c>
      <c r="E99" s="18" t="s">
        <v>58</v>
      </c>
      <c r="G99" s="2">
        <f>J99/J101</f>
        <v>0.46818150621118015</v>
      </c>
      <c r="J99" s="3">
        <f>E51+J91</f>
        <v>10768.174642857144</v>
      </c>
    </row>
    <row r="100" spans="2:18" hidden="1" x14ac:dyDescent="0.3">
      <c r="C100" s="17" t="s">
        <v>52</v>
      </c>
      <c r="E100" s="18"/>
    </row>
    <row r="101" spans="2:18" hidden="1" x14ac:dyDescent="0.3">
      <c r="C101" s="17"/>
      <c r="E101" s="18"/>
      <c r="H101" s="1"/>
      <c r="I101" s="1"/>
      <c r="J101" s="1">
        <v>23000</v>
      </c>
    </row>
    <row r="102" spans="2:18" hidden="1" x14ac:dyDescent="0.3">
      <c r="C102" s="43" t="s">
        <v>60</v>
      </c>
      <c r="D102" s="5"/>
      <c r="E102" s="18"/>
    </row>
    <row r="103" spans="2:18" hidden="1" x14ac:dyDescent="0.3">
      <c r="C103" s="17"/>
      <c r="E103" s="18"/>
    </row>
    <row r="104" spans="2:18" hidden="1" x14ac:dyDescent="0.3">
      <c r="C104" s="17" t="s">
        <v>59</v>
      </c>
      <c r="E104" s="18"/>
    </row>
    <row r="105" spans="2:18" hidden="1" x14ac:dyDescent="0.3">
      <c r="C105" s="17"/>
      <c r="E105" s="18"/>
    </row>
    <row r="106" spans="2:18" hidden="1" x14ac:dyDescent="0.3">
      <c r="C106" s="17"/>
      <c r="E106" s="18"/>
    </row>
    <row r="107" spans="2:18" hidden="1" x14ac:dyDescent="0.3">
      <c r="C107" s="17"/>
      <c r="E107" s="18"/>
    </row>
    <row r="108" spans="2:18" hidden="1" x14ac:dyDescent="0.3">
      <c r="C108" s="17"/>
      <c r="E108" s="18"/>
    </row>
    <row r="109" spans="2:18" hidden="1" x14ac:dyDescent="0.3">
      <c r="C109" s="17"/>
      <c r="E109" s="18"/>
    </row>
    <row r="110" spans="2:18" hidden="1" x14ac:dyDescent="0.3">
      <c r="C110" s="17"/>
      <c r="E110" s="18"/>
    </row>
    <row r="111" spans="2:18" hidden="1" x14ac:dyDescent="0.3">
      <c r="B111" s="1" t="s">
        <v>43</v>
      </c>
      <c r="C111" s="17"/>
      <c r="E111" s="18"/>
      <c r="H111" s="1"/>
      <c r="I111" s="1"/>
      <c r="M111" t="s">
        <v>42</v>
      </c>
    </row>
    <row r="112" spans="2:18" hidden="1" x14ac:dyDescent="0.3">
      <c r="B112" s="1" t="s">
        <v>44</v>
      </c>
      <c r="C112" s="17"/>
      <c r="E112" s="18"/>
      <c r="H112" s="1"/>
      <c r="I112" s="1"/>
      <c r="M112" t="s">
        <v>24</v>
      </c>
      <c r="Q112" t="s">
        <v>19</v>
      </c>
      <c r="R112" t="s">
        <v>13</v>
      </c>
    </row>
    <row r="113" spans="2:18" hidden="1" x14ac:dyDescent="0.3">
      <c r="B113" s="1" t="s">
        <v>44</v>
      </c>
      <c r="C113" s="17"/>
      <c r="E113" s="18"/>
      <c r="H113" s="1"/>
      <c r="I113" s="1"/>
      <c r="M113" t="s">
        <v>39</v>
      </c>
      <c r="N113" t="s">
        <v>40</v>
      </c>
      <c r="O113" t="s">
        <v>18</v>
      </c>
      <c r="P113" t="s">
        <v>18</v>
      </c>
      <c r="Q113" t="s">
        <v>18</v>
      </c>
      <c r="R113" t="s">
        <v>18</v>
      </c>
    </row>
    <row r="114" spans="2:18" hidden="1" x14ac:dyDescent="0.3">
      <c r="C114" s="17" t="s">
        <v>41</v>
      </c>
      <c r="E114" s="18">
        <v>250</v>
      </c>
    </row>
    <row r="115" spans="2:18" hidden="1" x14ac:dyDescent="0.3">
      <c r="C115" s="17" t="s">
        <v>45</v>
      </c>
      <c r="E115" s="18"/>
    </row>
    <row r="116" spans="2:18" hidden="1" x14ac:dyDescent="0.3">
      <c r="C116" s="17" t="s">
        <v>46</v>
      </c>
      <c r="E116" s="18"/>
      <c r="H116" s="1"/>
      <c r="I116" s="1"/>
      <c r="M116" t="s">
        <v>2</v>
      </c>
    </row>
    <row r="117" spans="2:18" hidden="1" x14ac:dyDescent="0.3">
      <c r="C117" s="17"/>
      <c r="E117" s="18"/>
      <c r="G117" s="2">
        <v>0.1</v>
      </c>
      <c r="H117" s="3">
        <f>H115-G117*H115</f>
        <v>0</v>
      </c>
      <c r="I117" s="2">
        <f t="shared" ref="I117" si="1">1-H117/$E$21</f>
        <v>1</v>
      </c>
      <c r="J117" s="11">
        <f>I117-I115</f>
        <v>1</v>
      </c>
      <c r="K117" s="11">
        <f t="shared" ref="K117" si="2">J117</f>
        <v>1</v>
      </c>
      <c r="L117" s="11"/>
      <c r="M117" s="1" t="s">
        <v>11</v>
      </c>
      <c r="N117" s="1" t="s">
        <v>1</v>
      </c>
    </row>
    <row r="118" spans="2:18" hidden="1" x14ac:dyDescent="0.3">
      <c r="C118" s="17"/>
      <c r="E118" s="18"/>
    </row>
    <row r="119" spans="2:18" x14ac:dyDescent="0.3">
      <c r="C119" s="17" t="s">
        <v>47</v>
      </c>
      <c r="E119" s="18"/>
    </row>
    <row r="120" spans="2:18" ht="15" thickBot="1" x14ac:dyDescent="0.35">
      <c r="C120" s="27" t="s">
        <v>30</v>
      </c>
      <c r="D120" s="28"/>
      <c r="E120" s="44"/>
    </row>
  </sheetData>
  <mergeCells count="7">
    <mergeCell ref="M21:R21"/>
    <mergeCell ref="M20:R20"/>
    <mergeCell ref="M26:Q26"/>
    <mergeCell ref="M34:Q34"/>
    <mergeCell ref="M36:Q36"/>
    <mergeCell ref="M33:Q33"/>
    <mergeCell ref="M35:Q35"/>
  </mergeCells>
  <phoneticPr fontId="5"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9C259-8C4A-4381-87B2-9093C3F5DE08}">
  <dimension ref="B2:AA124"/>
  <sheetViews>
    <sheetView tabSelected="1" topLeftCell="D32" zoomScale="80" zoomScaleNormal="80" workbookViewId="0">
      <selection activeCell="R46" sqref="R46"/>
    </sheetView>
  </sheetViews>
  <sheetFormatPr baseColWidth="10" defaultRowHeight="14.4" x14ac:dyDescent="0.3"/>
  <cols>
    <col min="2" max="2" width="6.5546875" style="1" customWidth="1"/>
    <col min="3" max="3" width="47.21875" customWidth="1"/>
    <col min="4" max="4" width="6.88671875" customWidth="1"/>
    <col min="5" max="5" width="27.77734375" style="1" customWidth="1"/>
    <col min="6" max="6" width="5.109375" style="14" customWidth="1"/>
    <col min="7" max="7" width="13.5546875" style="2" customWidth="1"/>
    <col min="8" max="8" width="13.21875" style="2" customWidth="1"/>
    <col min="9" max="9" width="11.5546875" style="2" customWidth="1"/>
    <col min="10" max="12" width="11.5546875" style="1" customWidth="1"/>
    <col min="13" max="13" width="16.5546875" customWidth="1"/>
    <col min="14" max="14" width="17" customWidth="1"/>
    <col min="15" max="15" width="20.77734375" customWidth="1"/>
    <col min="16" max="17" width="16.44140625" customWidth="1"/>
    <col min="18" max="18" width="15.33203125" customWidth="1"/>
  </cols>
  <sheetData>
    <row r="2" spans="2:18" ht="15.6" x14ac:dyDescent="0.3">
      <c r="B2" s="12"/>
      <c r="C2" s="63" t="s">
        <v>120</v>
      </c>
      <c r="D2" s="50"/>
      <c r="E2" s="12"/>
      <c r="F2" s="51"/>
      <c r="G2" s="52"/>
      <c r="H2" s="52"/>
      <c r="I2" s="52"/>
      <c r="J2" s="12"/>
      <c r="K2" s="12"/>
      <c r="L2" s="12"/>
      <c r="M2" s="50"/>
      <c r="N2" s="50"/>
      <c r="O2" s="50"/>
      <c r="P2" s="50"/>
      <c r="Q2" s="50"/>
      <c r="R2" s="50"/>
    </row>
    <row r="3" spans="2:18" ht="15" thickBot="1" x14ac:dyDescent="0.35">
      <c r="B3" s="12"/>
      <c r="C3" s="50"/>
      <c r="D3" s="50"/>
      <c r="E3" s="12"/>
      <c r="F3" s="51"/>
      <c r="G3" s="52"/>
      <c r="H3" s="52"/>
      <c r="I3" s="52"/>
      <c r="J3" s="12"/>
      <c r="K3" s="12"/>
      <c r="L3" s="12"/>
      <c r="M3" s="50"/>
      <c r="N3" s="50"/>
      <c r="O3" s="50"/>
      <c r="P3" s="50"/>
      <c r="Q3" s="50"/>
      <c r="R3" s="50"/>
    </row>
    <row r="4" spans="2:18" x14ac:dyDescent="0.3">
      <c r="B4" s="12"/>
      <c r="C4" s="53" t="s">
        <v>115</v>
      </c>
      <c r="D4" s="54"/>
      <c r="E4" s="55"/>
      <c r="F4" s="51"/>
      <c r="G4" s="52"/>
      <c r="H4" s="52"/>
      <c r="I4" s="52"/>
      <c r="J4" s="12"/>
      <c r="K4" s="12"/>
      <c r="L4" s="12"/>
      <c r="M4" s="50"/>
      <c r="N4" s="50"/>
      <c r="O4" s="50"/>
      <c r="P4" s="50"/>
      <c r="Q4" s="50"/>
      <c r="R4" s="50"/>
    </row>
    <row r="5" spans="2:18" x14ac:dyDescent="0.3">
      <c r="B5" s="12"/>
      <c r="C5" s="56"/>
      <c r="D5" s="50"/>
      <c r="E5" s="57"/>
      <c r="F5" s="51"/>
      <c r="G5" s="52"/>
      <c r="H5" s="52"/>
      <c r="I5" s="52"/>
      <c r="J5" s="12"/>
      <c r="K5" s="12"/>
      <c r="L5" s="12"/>
      <c r="M5" s="50"/>
      <c r="N5" s="50"/>
      <c r="O5" s="50"/>
      <c r="P5" s="50"/>
      <c r="Q5" s="50"/>
      <c r="R5" s="50"/>
    </row>
    <row r="6" spans="2:18" x14ac:dyDescent="0.3">
      <c r="B6" s="12"/>
      <c r="C6" s="32" t="s">
        <v>0</v>
      </c>
      <c r="D6" s="33"/>
      <c r="E6" s="18" t="s">
        <v>85</v>
      </c>
      <c r="G6" s="2" t="s">
        <v>61</v>
      </c>
      <c r="H6" s="2" t="s">
        <v>86</v>
      </c>
      <c r="J6" s="1" t="s">
        <v>62</v>
      </c>
      <c r="K6" s="1" t="s">
        <v>63</v>
      </c>
    </row>
    <row r="7" spans="2:18" x14ac:dyDescent="0.3">
      <c r="B7" s="12"/>
      <c r="C7" s="56"/>
      <c r="D7" s="50"/>
      <c r="E7" s="57"/>
    </row>
    <row r="8" spans="2:18" x14ac:dyDescent="0.3">
      <c r="B8" s="12"/>
      <c r="C8" s="56" t="s">
        <v>49</v>
      </c>
      <c r="D8" s="50"/>
      <c r="E8" s="19" t="s">
        <v>122</v>
      </c>
    </row>
    <row r="9" spans="2:18" x14ac:dyDescent="0.3">
      <c r="B9" s="12"/>
      <c r="C9" s="56" t="s">
        <v>48</v>
      </c>
      <c r="D9" s="50"/>
      <c r="E9" s="81" t="s">
        <v>123</v>
      </c>
      <c r="H9" s="1"/>
      <c r="I9" s="1"/>
    </row>
    <row r="10" spans="2:18" x14ac:dyDescent="0.3">
      <c r="B10" s="12"/>
      <c r="C10" s="56" t="s">
        <v>90</v>
      </c>
      <c r="D10" s="50"/>
      <c r="E10" s="21">
        <f>1670*15</f>
        <v>25050</v>
      </c>
      <c r="G10" s="14"/>
      <c r="H10" s="14"/>
      <c r="I10"/>
    </row>
    <row r="11" spans="2:18" x14ac:dyDescent="0.3">
      <c r="B11" s="12"/>
      <c r="C11" s="56" t="s">
        <v>94</v>
      </c>
      <c r="D11" s="50"/>
      <c r="E11" s="21"/>
      <c r="G11" s="14"/>
      <c r="H11" s="14"/>
      <c r="I11"/>
    </row>
    <row r="12" spans="2:18" x14ac:dyDescent="0.3">
      <c r="B12" s="12"/>
      <c r="C12" s="56" t="s">
        <v>95</v>
      </c>
      <c r="D12" s="50"/>
      <c r="E12" s="21">
        <v>61</v>
      </c>
      <c r="G12" s="14"/>
      <c r="H12" s="14"/>
      <c r="I12"/>
    </row>
    <row r="13" spans="2:18" x14ac:dyDescent="0.3">
      <c r="B13" s="12"/>
      <c r="C13" s="56"/>
      <c r="D13" s="50"/>
      <c r="E13" s="22"/>
      <c r="H13" s="1"/>
      <c r="I13" s="1"/>
    </row>
    <row r="14" spans="2:18" x14ac:dyDescent="0.3">
      <c r="B14" s="12"/>
      <c r="C14" s="56" t="s">
        <v>14</v>
      </c>
      <c r="D14" s="50"/>
      <c r="E14" s="19">
        <v>15</v>
      </c>
      <c r="H14" s="1"/>
      <c r="I14" s="1"/>
    </row>
    <row r="15" spans="2:18" x14ac:dyDescent="0.3">
      <c r="B15" s="12"/>
      <c r="C15" s="56" t="s">
        <v>80</v>
      </c>
      <c r="D15" s="50"/>
      <c r="E15" s="20">
        <v>1</v>
      </c>
      <c r="H15" s="1"/>
      <c r="I15" s="1"/>
      <c r="M15" s="1"/>
      <c r="N15" s="1"/>
      <c r="O15" s="1"/>
    </row>
    <row r="16" spans="2:18" x14ac:dyDescent="0.3">
      <c r="B16" s="12"/>
      <c r="C16" s="56" t="s">
        <v>81</v>
      </c>
      <c r="D16" s="50"/>
      <c r="E16" s="20">
        <v>0</v>
      </c>
      <c r="H16" s="1"/>
      <c r="I16" s="1"/>
      <c r="M16" s="1"/>
      <c r="N16" s="1"/>
      <c r="O16" s="1"/>
    </row>
    <row r="17" spans="2:18" x14ac:dyDescent="0.3">
      <c r="B17" s="12"/>
      <c r="C17" s="56"/>
      <c r="D17" s="50"/>
      <c r="E17" s="57"/>
      <c r="H17" s="1"/>
      <c r="I17" s="1"/>
      <c r="M17" s="1"/>
      <c r="N17" s="1"/>
      <c r="O17" s="1"/>
    </row>
    <row r="18" spans="2:18" x14ac:dyDescent="0.3">
      <c r="B18" s="12"/>
      <c r="C18" s="56" t="s">
        <v>78</v>
      </c>
      <c r="D18" s="50"/>
      <c r="E18" s="57">
        <v>139</v>
      </c>
      <c r="H18" s="1"/>
      <c r="I18" s="1"/>
      <c r="J18" s="8"/>
      <c r="M18" t="s">
        <v>2</v>
      </c>
    </row>
    <row r="19" spans="2:18" x14ac:dyDescent="0.3">
      <c r="B19" s="12"/>
      <c r="C19" s="56" t="s">
        <v>15</v>
      </c>
      <c r="D19" s="50"/>
      <c r="E19" s="23">
        <v>157</v>
      </c>
      <c r="I19" s="1"/>
      <c r="M19" t="s">
        <v>2</v>
      </c>
    </row>
    <row r="20" spans="2:18" x14ac:dyDescent="0.3">
      <c r="B20" s="12"/>
      <c r="C20" s="56" t="s">
        <v>76</v>
      </c>
      <c r="D20" s="50"/>
      <c r="E20" s="23">
        <v>30</v>
      </c>
      <c r="H20" s="1"/>
      <c r="I20" s="1"/>
      <c r="M20" s="92"/>
      <c r="N20" s="92"/>
      <c r="O20" s="92"/>
      <c r="P20" s="92"/>
      <c r="Q20" s="92"/>
      <c r="R20" s="92"/>
    </row>
    <row r="21" spans="2:18" x14ac:dyDescent="0.3">
      <c r="B21" s="12"/>
      <c r="C21" s="56" t="s">
        <v>77</v>
      </c>
      <c r="D21" s="50"/>
      <c r="E21" s="24">
        <f>E19-10+E20</f>
        <v>177</v>
      </c>
      <c r="H21" s="1"/>
      <c r="I21" s="1"/>
      <c r="M21" s="92"/>
      <c r="N21" s="92"/>
      <c r="O21" s="92"/>
      <c r="P21" s="92"/>
      <c r="Q21" s="92"/>
      <c r="R21" s="92"/>
    </row>
    <row r="22" spans="2:18" x14ac:dyDescent="0.3">
      <c r="B22" s="12"/>
      <c r="C22" s="56" t="s">
        <v>84</v>
      </c>
      <c r="D22" s="50"/>
      <c r="E22" s="19">
        <v>79000</v>
      </c>
      <c r="H22" s="1"/>
      <c r="I22" s="1"/>
      <c r="M22" t="s">
        <v>4</v>
      </c>
    </row>
    <row r="23" spans="2:18" x14ac:dyDescent="0.3">
      <c r="B23" s="12"/>
      <c r="C23" s="56"/>
      <c r="D23" s="50"/>
      <c r="E23" s="22"/>
    </row>
    <row r="24" spans="2:18" x14ac:dyDescent="0.3">
      <c r="B24" s="12"/>
      <c r="C24" s="56" t="s">
        <v>82</v>
      </c>
      <c r="D24" s="50"/>
      <c r="E24" s="20" t="s">
        <v>16</v>
      </c>
      <c r="H24" s="1"/>
      <c r="I24" s="1"/>
      <c r="M24" s="1" t="s">
        <v>5</v>
      </c>
      <c r="N24" s="1" t="s">
        <v>6</v>
      </c>
      <c r="O24" s="1"/>
    </row>
    <row r="25" spans="2:18" x14ac:dyDescent="0.3">
      <c r="B25" s="12"/>
      <c r="C25" s="56" t="s">
        <v>83</v>
      </c>
      <c r="D25" s="50"/>
      <c r="E25" s="20" t="s">
        <v>17</v>
      </c>
      <c r="H25" s="1"/>
      <c r="I25" s="1"/>
      <c r="M25" s="1" t="s">
        <v>7</v>
      </c>
      <c r="N25" s="1" t="s">
        <v>8</v>
      </c>
      <c r="O25" s="1" t="s">
        <v>9</v>
      </c>
    </row>
    <row r="26" spans="2:18" x14ac:dyDescent="0.3">
      <c r="B26" s="12"/>
      <c r="C26" s="56" t="s">
        <v>91</v>
      </c>
      <c r="D26" s="50"/>
      <c r="E26" s="82">
        <v>65</v>
      </c>
      <c r="H26" s="1"/>
      <c r="I26" s="1"/>
      <c r="M26" s="92" t="s">
        <v>79</v>
      </c>
      <c r="N26" s="92"/>
      <c r="O26" s="92"/>
      <c r="P26" s="92"/>
      <c r="Q26" s="92"/>
    </row>
    <row r="27" spans="2:18" x14ac:dyDescent="0.3">
      <c r="B27" s="12"/>
      <c r="C27" s="56"/>
      <c r="D27" s="50"/>
      <c r="E27" s="57"/>
    </row>
    <row r="28" spans="2:18" x14ac:dyDescent="0.3">
      <c r="B28" s="12"/>
      <c r="C28" s="56"/>
      <c r="D28" s="50"/>
      <c r="E28" s="57"/>
      <c r="H28" s="1"/>
      <c r="I28" s="1"/>
    </row>
    <row r="29" spans="2:18" x14ac:dyDescent="0.3">
      <c r="B29" s="12"/>
      <c r="C29" s="56" t="s">
        <v>75</v>
      </c>
      <c r="D29" s="50"/>
      <c r="E29" s="19" t="s">
        <v>124</v>
      </c>
      <c r="G29" s="2">
        <v>0.1</v>
      </c>
      <c r="H29" s="1">
        <f>E21-G29*E21</f>
        <v>159.30000000000001</v>
      </c>
      <c r="I29" s="2">
        <f>1-H29/$E$21</f>
        <v>9.9999999999999978E-2</v>
      </c>
      <c r="J29" s="11">
        <f>I29-I27</f>
        <v>9.9999999999999978E-2</v>
      </c>
      <c r="K29" s="11">
        <f>J29</f>
        <v>9.9999999999999978E-2</v>
      </c>
      <c r="L29" s="1">
        <v>4500</v>
      </c>
      <c r="M29" s="1" t="s">
        <v>66</v>
      </c>
      <c r="N29" s="1" t="s">
        <v>65</v>
      </c>
      <c r="O29" s="1" t="s">
        <v>3</v>
      </c>
      <c r="P29" s="1" t="s">
        <v>10</v>
      </c>
      <c r="Q29" s="1" t="s">
        <v>13</v>
      </c>
      <c r="R29" s="1"/>
    </row>
    <row r="30" spans="2:18" x14ac:dyDescent="0.3">
      <c r="B30" s="12"/>
      <c r="C30" s="56"/>
      <c r="D30" s="50"/>
      <c r="E30" s="18"/>
      <c r="H30" s="1"/>
      <c r="M30" s="1">
        <v>10</v>
      </c>
      <c r="N30" s="1">
        <v>10</v>
      </c>
      <c r="O30" s="1">
        <v>10</v>
      </c>
      <c r="P30" s="1">
        <v>0</v>
      </c>
      <c r="Q30" s="1">
        <v>10</v>
      </c>
    </row>
    <row r="31" spans="2:18" x14ac:dyDescent="0.3">
      <c r="B31" s="12"/>
      <c r="C31" s="56" t="s">
        <v>29</v>
      </c>
      <c r="D31" s="50"/>
      <c r="E31" s="19" t="s">
        <v>125</v>
      </c>
      <c r="G31" s="2">
        <v>0</v>
      </c>
      <c r="H31" s="3">
        <f>H29-G31*H29</f>
        <v>159.30000000000001</v>
      </c>
      <c r="I31" s="2">
        <f>1-H31/$E$21</f>
        <v>9.9999999999999978E-2</v>
      </c>
      <c r="J31" s="11">
        <f>I31-I29</f>
        <v>0</v>
      </c>
      <c r="K31" s="11">
        <f>J31</f>
        <v>0</v>
      </c>
      <c r="L31" s="3">
        <v>0</v>
      </c>
      <c r="M31" s="1" t="s">
        <v>25</v>
      </c>
      <c r="N31" s="1" t="s">
        <v>26</v>
      </c>
      <c r="O31" s="1" t="s">
        <v>27</v>
      </c>
      <c r="P31" s="1" t="s">
        <v>28</v>
      </c>
      <c r="R31" s="1"/>
    </row>
    <row r="32" spans="2:18" x14ac:dyDescent="0.3">
      <c r="B32" s="12"/>
      <c r="C32" s="56"/>
      <c r="D32" s="50"/>
      <c r="E32" s="18"/>
      <c r="H32" s="1"/>
      <c r="K32" s="11"/>
      <c r="M32" s="1">
        <v>10</v>
      </c>
      <c r="N32" s="1">
        <v>0</v>
      </c>
      <c r="O32" s="1">
        <v>3</v>
      </c>
      <c r="P32" s="1">
        <v>6</v>
      </c>
    </row>
    <row r="33" spans="2:26" x14ac:dyDescent="0.3">
      <c r="B33" s="12"/>
      <c r="C33" s="56" t="s">
        <v>23</v>
      </c>
      <c r="D33" s="50"/>
      <c r="E33" s="19"/>
      <c r="G33" s="2">
        <f>(E33-2.5)*10/E21*E16</f>
        <v>0</v>
      </c>
      <c r="H33" s="3">
        <f>H31-G33*H31</f>
        <v>159.30000000000001</v>
      </c>
      <c r="I33" s="2">
        <f>1-H33/$E$21</f>
        <v>9.9999999999999978E-2</v>
      </c>
      <c r="J33" s="11">
        <f>I33-I31</f>
        <v>0</v>
      </c>
      <c r="K33" s="11">
        <f t="shared" ref="K33:K41" si="0">J33</f>
        <v>0</v>
      </c>
      <c r="L33" s="3">
        <v>0</v>
      </c>
      <c r="M33" s="92" t="s">
        <v>18</v>
      </c>
      <c r="N33" s="92"/>
      <c r="O33" s="92"/>
      <c r="P33" s="92"/>
      <c r="Q33" s="92"/>
      <c r="Z33">
        <v>6000</v>
      </c>
    </row>
    <row r="34" spans="2:26" x14ac:dyDescent="0.3">
      <c r="B34" s="12"/>
      <c r="C34" s="56"/>
      <c r="D34" s="50"/>
      <c r="E34" s="18"/>
      <c r="H34" s="3"/>
      <c r="K34" s="11"/>
      <c r="L34" s="3"/>
      <c r="M34" s="92" t="s">
        <v>67</v>
      </c>
      <c r="N34" s="92"/>
      <c r="O34" s="92"/>
      <c r="P34" s="92"/>
      <c r="Q34" s="92"/>
      <c r="Z34">
        <f>267*19.6</f>
        <v>5233.2000000000007</v>
      </c>
    </row>
    <row r="35" spans="2:26" x14ac:dyDescent="0.3">
      <c r="B35" s="12" t="s">
        <v>43</v>
      </c>
      <c r="C35" s="56" t="s">
        <v>38</v>
      </c>
      <c r="D35" s="50"/>
      <c r="E35" s="19">
        <v>2.8</v>
      </c>
      <c r="G35" s="2">
        <f>(E35-1.4)*10/E21*E15</f>
        <v>7.909604519774012E-2</v>
      </c>
      <c r="H35" s="3">
        <f>H33-G35*H33</f>
        <v>146.70000000000002</v>
      </c>
      <c r="I35" s="2">
        <f>1-H35/$E$21</f>
        <v>0.17118644067796596</v>
      </c>
      <c r="J35" s="11">
        <f>I35-I33</f>
        <v>7.1186440677965979E-2</v>
      </c>
      <c r="K35" s="11">
        <f t="shared" si="0"/>
        <v>7.1186440677965979E-2</v>
      </c>
      <c r="L35" s="3">
        <v>5000</v>
      </c>
      <c r="M35" s="92" t="s">
        <v>18</v>
      </c>
      <c r="N35" s="92"/>
      <c r="O35" s="92"/>
      <c r="P35" s="92"/>
      <c r="Q35" s="92"/>
    </row>
    <row r="36" spans="2:26" x14ac:dyDescent="0.3">
      <c r="B36" s="12"/>
      <c r="C36" s="56"/>
      <c r="D36" s="50"/>
      <c r="E36" s="18"/>
      <c r="K36" s="11"/>
      <c r="L36" s="2"/>
      <c r="M36" s="92" t="s">
        <v>68</v>
      </c>
      <c r="N36" s="92"/>
      <c r="O36" s="92"/>
      <c r="P36" s="92"/>
      <c r="Q36" s="92"/>
    </row>
    <row r="37" spans="2:26" x14ac:dyDescent="0.3">
      <c r="B37" s="12"/>
      <c r="C37" s="56" t="s">
        <v>31</v>
      </c>
      <c r="D37" s="50"/>
      <c r="E37" s="19" t="s">
        <v>126</v>
      </c>
      <c r="G37" s="2">
        <v>0</v>
      </c>
      <c r="H37" s="3">
        <f>H35-G37*H33</f>
        <v>146.70000000000002</v>
      </c>
      <c r="I37" s="2">
        <f>1-H37/$E$21</f>
        <v>0.17118644067796596</v>
      </c>
      <c r="J37" s="11">
        <f>I37-I35</f>
        <v>0</v>
      </c>
      <c r="K37" s="11"/>
      <c r="L37" s="3">
        <v>3000</v>
      </c>
      <c r="M37" s="1" t="s">
        <v>11</v>
      </c>
      <c r="N37" s="1" t="s">
        <v>1</v>
      </c>
      <c r="O37" s="1"/>
      <c r="P37" s="1"/>
      <c r="Q37" s="1"/>
    </row>
    <row r="38" spans="2:26" x14ac:dyDescent="0.3">
      <c r="B38" s="12"/>
      <c r="C38" s="56"/>
      <c r="D38" s="50"/>
      <c r="E38" s="18"/>
      <c r="K38" s="11"/>
      <c r="L38" s="2"/>
      <c r="M38" s="1">
        <v>0</v>
      </c>
      <c r="N38" s="1">
        <v>5</v>
      </c>
    </row>
    <row r="39" spans="2:26" x14ac:dyDescent="0.3">
      <c r="B39" s="12"/>
      <c r="C39" s="58" t="s">
        <v>34</v>
      </c>
      <c r="D39" s="61"/>
      <c r="E39" s="19" t="s">
        <v>126</v>
      </c>
      <c r="G39" s="2">
        <v>0</v>
      </c>
      <c r="H39" s="3">
        <f>H37-G39*H37</f>
        <v>146.70000000000002</v>
      </c>
      <c r="I39" s="2">
        <f>1-H39/$E$21</f>
        <v>0.17118644067796596</v>
      </c>
      <c r="J39" s="11">
        <f>I39-I37</f>
        <v>0</v>
      </c>
      <c r="K39" s="11"/>
      <c r="L39" s="3">
        <v>4000</v>
      </c>
      <c r="M39" s="1" t="s">
        <v>32</v>
      </c>
      <c r="N39" s="1" t="s">
        <v>69</v>
      </c>
      <c r="O39" s="1" t="s">
        <v>33</v>
      </c>
      <c r="P39" s="1" t="s">
        <v>35</v>
      </c>
      <c r="Q39" s="1" t="s">
        <v>36</v>
      </c>
    </row>
    <row r="40" spans="2:26" x14ac:dyDescent="0.3">
      <c r="B40" s="12"/>
      <c r="C40" s="56"/>
      <c r="D40" s="50"/>
      <c r="E40" s="18"/>
      <c r="K40" s="11"/>
      <c r="L40" s="2"/>
    </row>
    <row r="41" spans="2:26" ht="15" thickBot="1" x14ac:dyDescent="0.35">
      <c r="B41" s="12"/>
      <c r="C41" s="59" t="s">
        <v>12</v>
      </c>
      <c r="D41" s="62"/>
      <c r="E41" s="29">
        <v>18</v>
      </c>
      <c r="G41" s="2">
        <v>0.22</v>
      </c>
      <c r="H41" s="3">
        <f>H39-H39*G41</f>
        <v>114.42600000000002</v>
      </c>
      <c r="I41" s="2">
        <f>1-H41/$E$21</f>
        <v>0.35352542372881346</v>
      </c>
      <c r="J41" s="11">
        <f>I41-I39</f>
        <v>0.1823389830508475</v>
      </c>
      <c r="K41" s="11">
        <f t="shared" si="0"/>
        <v>0.1823389830508475</v>
      </c>
      <c r="L41" s="3">
        <v>9000</v>
      </c>
      <c r="M41" s="9" t="s">
        <v>70</v>
      </c>
      <c r="N41" s="10" t="s">
        <v>73</v>
      </c>
      <c r="O41" s="10" t="s">
        <v>74</v>
      </c>
      <c r="P41" s="9" t="s">
        <v>71</v>
      </c>
      <c r="Q41" s="9" t="s">
        <v>72</v>
      </c>
      <c r="R41" s="9" t="s">
        <v>13</v>
      </c>
    </row>
    <row r="42" spans="2:26" ht="15" thickBot="1" x14ac:dyDescent="0.35">
      <c r="B42" s="12"/>
      <c r="C42" s="50"/>
      <c r="M42" s="1">
        <f>M45+M46+M47</f>
        <v>13</v>
      </c>
      <c r="N42" s="1">
        <f t="shared" ref="N42:R42" si="1">N45+N46+N47</f>
        <v>16</v>
      </c>
      <c r="O42" s="1">
        <f t="shared" si="1"/>
        <v>19</v>
      </c>
      <c r="P42" s="1">
        <f t="shared" si="1"/>
        <v>22</v>
      </c>
      <c r="Q42" s="1">
        <f t="shared" si="1"/>
        <v>25</v>
      </c>
      <c r="R42" s="1">
        <f t="shared" si="1"/>
        <v>25</v>
      </c>
    </row>
    <row r="43" spans="2:26" x14ac:dyDescent="0.3">
      <c r="B43" s="12"/>
      <c r="C43" s="53" t="s">
        <v>118</v>
      </c>
      <c r="D43" s="54"/>
      <c r="E43" s="55"/>
      <c r="M43" s="1">
        <v>0</v>
      </c>
      <c r="N43" s="1">
        <v>5</v>
      </c>
    </row>
    <row r="44" spans="2:26" x14ac:dyDescent="0.3">
      <c r="B44" s="12"/>
      <c r="C44" s="56"/>
      <c r="D44" s="50"/>
      <c r="E44" s="57"/>
      <c r="L44" s="3"/>
    </row>
    <row r="45" spans="2:26" s="5" customFormat="1" x14ac:dyDescent="0.3">
      <c r="B45" s="12"/>
      <c r="C45" s="56"/>
      <c r="D45" s="61"/>
      <c r="E45" s="57"/>
      <c r="F45" s="14"/>
      <c r="G45" s="6"/>
      <c r="H45" s="6"/>
      <c r="J45" s="4"/>
      <c r="K45" s="83">
        <f>SUM(K29:K41)</f>
        <v>0.35352542372881346</v>
      </c>
      <c r="L45" s="1">
        <f>SUM(L29:L41)</f>
        <v>25500</v>
      </c>
      <c r="M45" s="1">
        <v>10</v>
      </c>
      <c r="N45" s="1">
        <v>10</v>
      </c>
      <c r="O45" s="1">
        <v>10</v>
      </c>
      <c r="P45" s="1">
        <v>10</v>
      </c>
      <c r="Q45" s="1">
        <v>10</v>
      </c>
      <c r="R45" s="1">
        <v>10</v>
      </c>
      <c r="S45"/>
    </row>
    <row r="46" spans="2:26" s="5" customFormat="1" x14ac:dyDescent="0.3">
      <c r="B46" s="12"/>
      <c r="C46" s="56" t="s">
        <v>87</v>
      </c>
      <c r="D46" s="50"/>
      <c r="E46" s="34">
        <f>I41</f>
        <v>0.35352542372881346</v>
      </c>
      <c r="F46" s="14"/>
      <c r="G46" s="6"/>
      <c r="H46" s="6"/>
      <c r="J46" s="4"/>
      <c r="K46" s="4"/>
      <c r="L46" s="3"/>
      <c r="M46" s="1">
        <v>0</v>
      </c>
      <c r="N46" s="1">
        <v>3</v>
      </c>
      <c r="O46" s="1">
        <v>6</v>
      </c>
      <c r="P46" s="1">
        <v>9</v>
      </c>
      <c r="Q46" s="1">
        <v>12</v>
      </c>
      <c r="R46" s="1">
        <v>12</v>
      </c>
      <c r="S46"/>
    </row>
    <row r="47" spans="2:26" x14ac:dyDescent="0.3">
      <c r="B47" s="12"/>
      <c r="C47" s="56" t="s">
        <v>89</v>
      </c>
      <c r="D47" s="50"/>
      <c r="E47" s="35">
        <f>(1-K45)*E26</f>
        <v>42.020847457627127</v>
      </c>
      <c r="M47" s="1">
        <v>3</v>
      </c>
      <c r="N47" s="1">
        <v>3</v>
      </c>
      <c r="O47" s="1">
        <v>3</v>
      </c>
      <c r="P47" s="1">
        <v>3</v>
      </c>
      <c r="Q47" s="1">
        <v>3</v>
      </c>
      <c r="R47" s="1">
        <v>3</v>
      </c>
    </row>
    <row r="48" spans="2:26" s="5" customFormat="1" x14ac:dyDescent="0.3">
      <c r="B48" s="12"/>
      <c r="C48" s="56"/>
      <c r="D48" s="50"/>
      <c r="E48" s="18"/>
      <c r="F48" s="14"/>
      <c r="S48"/>
    </row>
    <row r="49" spans="2:27" x14ac:dyDescent="0.3">
      <c r="B49" s="12"/>
      <c r="C49" s="56" t="s">
        <v>88</v>
      </c>
      <c r="D49" s="61"/>
      <c r="E49" s="35">
        <f>E10</f>
        <v>25050</v>
      </c>
      <c r="G49" s="6"/>
      <c r="H49" s="6"/>
      <c r="I49" s="6"/>
      <c r="J49" s="4"/>
      <c r="K49" s="5"/>
      <c r="L49" s="5"/>
      <c r="M49" s="4" t="s">
        <v>142</v>
      </c>
      <c r="N49" s="4" t="s">
        <v>130</v>
      </c>
      <c r="O49" s="5" t="s">
        <v>131</v>
      </c>
      <c r="P49" s="5" t="s">
        <v>132</v>
      </c>
      <c r="Q49" s="5" t="s">
        <v>133</v>
      </c>
      <c r="R49" s="4" t="s">
        <v>136</v>
      </c>
      <c r="S49" s="4" t="s">
        <v>134</v>
      </c>
      <c r="T49" s="4" t="s">
        <v>135</v>
      </c>
      <c r="U49" s="4" t="s">
        <v>141</v>
      </c>
      <c r="V49" s="4" t="s">
        <v>128</v>
      </c>
      <c r="W49" s="4" t="s">
        <v>135</v>
      </c>
      <c r="X49" s="4" t="s">
        <v>127</v>
      </c>
      <c r="Y49" s="4"/>
      <c r="Z49" s="4" t="s">
        <v>129</v>
      </c>
      <c r="AA49" s="5"/>
    </row>
    <row r="50" spans="2:27" x14ac:dyDescent="0.3">
      <c r="B50" s="12"/>
      <c r="C50" s="56" t="s">
        <v>100</v>
      </c>
      <c r="D50" s="61"/>
      <c r="E50" s="34">
        <f ca="1">(E49-E51)/E49</f>
        <v>0.37400007442741617</v>
      </c>
      <c r="F50" s="14" t="s">
        <v>138</v>
      </c>
      <c r="G50" s="1">
        <v>3.14</v>
      </c>
      <c r="H50" s="1">
        <v>270</v>
      </c>
      <c r="I50">
        <f>G50*H50*H50</f>
        <v>228906.00000000003</v>
      </c>
      <c r="J50" s="84">
        <f>I50/10000</f>
        <v>22.890600000000003</v>
      </c>
      <c r="K50" s="84">
        <f>J50-J50</f>
        <v>0</v>
      </c>
      <c r="L50" s="1">
        <v>3000</v>
      </c>
      <c r="M50" s="3">
        <f>K50*L50</f>
        <v>0</v>
      </c>
      <c r="N50" s="1">
        <v>30</v>
      </c>
      <c r="O50" s="4">
        <f>9+N50</f>
        <v>39</v>
      </c>
      <c r="P50" s="1">
        <v>90</v>
      </c>
      <c r="Q50" s="1">
        <f>O50+P50</f>
        <v>129</v>
      </c>
      <c r="R50" s="1">
        <v>1500</v>
      </c>
      <c r="S50" s="2">
        <f>(Q53-Q53)/Q53</f>
        <v>0</v>
      </c>
      <c r="T50" s="3">
        <f>S50*R53</f>
        <v>0</v>
      </c>
      <c r="U50" s="3">
        <f>R50-T50</f>
        <v>1500</v>
      </c>
      <c r="V50" s="3">
        <f>U50*J50</f>
        <v>34335.9</v>
      </c>
      <c r="W50" s="85">
        <f>V50-V50</f>
        <v>0</v>
      </c>
      <c r="X50" s="85">
        <f>J50*L50</f>
        <v>68671.8</v>
      </c>
      <c r="Y50" s="85">
        <f>X50-X50</f>
        <v>0</v>
      </c>
      <c r="Z50" s="85">
        <f>Y50+W50</f>
        <v>0</v>
      </c>
    </row>
    <row r="51" spans="2:27" ht="13.8" customHeight="1" x14ac:dyDescent="0.3">
      <c r="B51" s="12"/>
      <c r="C51" s="56" t="s">
        <v>96</v>
      </c>
      <c r="D51" s="50"/>
      <c r="E51" s="35">
        <f ca="1">SUM(E49:E53)</f>
        <v>15681.298135593224</v>
      </c>
      <c r="F51" s="14" t="s">
        <v>137</v>
      </c>
      <c r="G51" s="1">
        <v>3.14</v>
      </c>
      <c r="H51" s="1">
        <v>262</v>
      </c>
      <c r="I51" s="85">
        <f>G51*H51*H51</f>
        <v>215542.16</v>
      </c>
      <c r="J51" s="84">
        <f>I51/10000</f>
        <v>21.554216</v>
      </c>
      <c r="K51" s="84">
        <v>1.3</v>
      </c>
      <c r="L51" s="1">
        <v>3000</v>
      </c>
      <c r="M51" s="3">
        <f>K51*L51</f>
        <v>3900</v>
      </c>
      <c r="N51" s="1">
        <v>12</v>
      </c>
      <c r="O51" s="4">
        <f>9+N51</f>
        <v>21</v>
      </c>
      <c r="P51" s="1">
        <v>90</v>
      </c>
      <c r="Q51" s="1">
        <f>O51+P51</f>
        <v>111</v>
      </c>
      <c r="R51" s="1">
        <v>1500</v>
      </c>
      <c r="S51" s="2">
        <f>(Q50-Q51)/Q50</f>
        <v>0.13953488372093023</v>
      </c>
      <c r="T51" s="3">
        <f>S51*R52</f>
        <v>209.30232558139534</v>
      </c>
      <c r="U51" s="3" t="s">
        <v>152</v>
      </c>
      <c r="V51" s="3" t="e">
        <f>U51*J51</f>
        <v>#VALUE!</v>
      </c>
      <c r="W51" s="85" t="e">
        <f>-(V51-V50)</f>
        <v>#VALUE!</v>
      </c>
      <c r="X51" s="85">
        <f>J51*L51</f>
        <v>64662.648000000001</v>
      </c>
      <c r="Y51" s="85">
        <f>X51-X50</f>
        <v>-4009.1520000000019</v>
      </c>
      <c r="Z51" s="85" t="e">
        <f>Y51+W51</f>
        <v>#VALUE!</v>
      </c>
    </row>
    <row r="52" spans="2:27" x14ac:dyDescent="0.3">
      <c r="B52" s="12"/>
      <c r="C52" s="56" t="s">
        <v>93</v>
      </c>
      <c r="D52" s="50"/>
      <c r="E52" s="35">
        <f>-73.27*7</f>
        <v>-512.89</v>
      </c>
      <c r="F52" s="14" t="s">
        <v>139</v>
      </c>
      <c r="G52" s="1">
        <v>3.14</v>
      </c>
      <c r="H52" s="1">
        <v>258</v>
      </c>
      <c r="I52" s="85">
        <f>G52*H52*H52</f>
        <v>209010.96</v>
      </c>
      <c r="J52" s="84">
        <f>I52/10000</f>
        <v>20.901095999999999</v>
      </c>
      <c r="K52" s="84">
        <f>J50-J52</f>
        <v>1.9895040000000037</v>
      </c>
      <c r="L52" s="1">
        <v>3000</v>
      </c>
      <c r="M52" s="3">
        <f>K52*L52</f>
        <v>5968.5120000000115</v>
      </c>
      <c r="N52" s="1">
        <v>7</v>
      </c>
      <c r="O52" s="4">
        <f t="shared" ref="O52" si="2">9+N52</f>
        <v>16</v>
      </c>
      <c r="P52" s="1">
        <v>90</v>
      </c>
      <c r="Q52" s="1">
        <f>O52+P52</f>
        <v>106</v>
      </c>
      <c r="R52" s="1">
        <v>1500</v>
      </c>
      <c r="S52" s="2">
        <f>(Q50-Q52)/Q50</f>
        <v>0.17829457364341086</v>
      </c>
      <c r="T52" s="3">
        <f>S52*R51</f>
        <v>267.44186046511629</v>
      </c>
      <c r="U52" s="3">
        <f>R52-T52</f>
        <v>1232.5581395348836</v>
      </c>
      <c r="V52" s="3">
        <f t="shared" ref="V52" si="3">U52*J52</f>
        <v>25761.815999999995</v>
      </c>
      <c r="W52" s="85">
        <f>V50-V52</f>
        <v>8574.0840000000062</v>
      </c>
      <c r="X52" s="85">
        <f>J52*L52</f>
        <v>62703.288</v>
      </c>
      <c r="Y52" s="85">
        <f>X52-X50</f>
        <v>-5968.5120000000024</v>
      </c>
      <c r="Z52" s="86">
        <f t="shared" ref="Z52:Z53" si="4">Y52+W52</f>
        <v>2605.5720000000038</v>
      </c>
    </row>
    <row r="53" spans="2:27" s="5" customFormat="1" x14ac:dyDescent="0.3">
      <c r="B53" s="12"/>
      <c r="C53" s="56" t="s">
        <v>92</v>
      </c>
      <c r="D53" s="50"/>
      <c r="E53" s="35">
        <f>-E10*E46</f>
        <v>-8855.8118644067763</v>
      </c>
      <c r="F53" s="14" t="s">
        <v>140</v>
      </c>
      <c r="G53" s="1">
        <v>3.14</v>
      </c>
      <c r="H53" s="1">
        <v>250</v>
      </c>
      <c r="I53">
        <f>G53*H53*H53</f>
        <v>196250</v>
      </c>
      <c r="J53" s="84">
        <f>I53/10000</f>
        <v>19.625</v>
      </c>
      <c r="K53" s="84">
        <f>J50-J53</f>
        <v>3.2656000000000027</v>
      </c>
      <c r="L53" s="1">
        <v>3000</v>
      </c>
      <c r="M53" s="3">
        <f>K53*L53</f>
        <v>9796.8000000000084</v>
      </c>
      <c r="N53" s="4">
        <v>7</v>
      </c>
      <c r="O53" s="4">
        <f>9+N53</f>
        <v>16</v>
      </c>
      <c r="P53" s="1">
        <v>90</v>
      </c>
      <c r="Q53" s="1">
        <f>O53+P53</f>
        <v>106</v>
      </c>
      <c r="R53" s="1">
        <v>1500</v>
      </c>
      <c r="S53" s="2">
        <f>(Q50-Q53)/Q50</f>
        <v>0.17829457364341086</v>
      </c>
      <c r="T53" s="3">
        <f>S53*R50</f>
        <v>267.44186046511629</v>
      </c>
      <c r="U53" s="3">
        <f>R53-T53</f>
        <v>1232.5581395348836</v>
      </c>
      <c r="V53" s="3">
        <f>U53*J53</f>
        <v>24188.953488372092</v>
      </c>
      <c r="W53" s="85">
        <f>V50-V53</f>
        <v>10146.94651162791</v>
      </c>
      <c r="X53" s="85">
        <f>J53*L53</f>
        <v>58875</v>
      </c>
      <c r="Y53" s="85">
        <f>X53-X50</f>
        <v>-9796.8000000000029</v>
      </c>
      <c r="Z53" s="85">
        <f t="shared" si="4"/>
        <v>350.14651162790688</v>
      </c>
    </row>
    <row r="54" spans="2:27" x14ac:dyDescent="0.3">
      <c r="C54" s="17"/>
      <c r="E54" s="18"/>
    </row>
    <row r="55" spans="2:27" x14ac:dyDescent="0.3">
      <c r="C55" s="17"/>
      <c r="E55" s="18"/>
    </row>
    <row r="56" spans="2:27" x14ac:dyDescent="0.3">
      <c r="C56" s="17"/>
      <c r="E56" s="18"/>
    </row>
    <row r="57" spans="2:27" x14ac:dyDescent="0.3">
      <c r="B57" s="12"/>
      <c r="C57" s="56"/>
      <c r="D57" s="50"/>
      <c r="E57" s="36"/>
    </row>
    <row r="58" spans="2:27" x14ac:dyDescent="0.3">
      <c r="B58" s="12"/>
      <c r="C58" s="56" t="s">
        <v>97</v>
      </c>
      <c r="D58" s="50"/>
      <c r="E58" s="35">
        <f>L45</f>
        <v>25500</v>
      </c>
    </row>
    <row r="59" spans="2:27" x14ac:dyDescent="0.3">
      <c r="B59" s="12"/>
      <c r="C59" s="56" t="s">
        <v>103</v>
      </c>
      <c r="D59" s="37">
        <v>0.3</v>
      </c>
      <c r="E59" s="35">
        <f>E58*-0.3</f>
        <v>-7650</v>
      </c>
    </row>
    <row r="60" spans="2:27" x14ac:dyDescent="0.3">
      <c r="B60" s="12"/>
      <c r="C60" s="56" t="s">
        <v>98</v>
      </c>
      <c r="D60" s="50"/>
      <c r="E60" s="35">
        <f>E58+E59</f>
        <v>17850</v>
      </c>
      <c r="M60" s="1">
        <v>1000</v>
      </c>
      <c r="N60" s="1">
        <f>J53*M60</f>
        <v>19625</v>
      </c>
    </row>
    <row r="61" spans="2:27" ht="15" thickBot="1" x14ac:dyDescent="0.35">
      <c r="B61" s="12"/>
      <c r="C61" s="60"/>
      <c r="D61" s="62"/>
      <c r="E61" s="40"/>
      <c r="M61" s="1">
        <v>1000</v>
      </c>
      <c r="N61" s="3">
        <f>J52*M61</f>
        <v>20901.095999999998</v>
      </c>
    </row>
    <row r="62" spans="2:27" x14ac:dyDescent="0.3">
      <c r="B62" s="12"/>
      <c r="C62" s="12"/>
      <c r="D62" s="12"/>
      <c r="E62" s="12"/>
      <c r="G62" s="14"/>
      <c r="H62" s="14"/>
      <c r="I62"/>
      <c r="M62" s="1">
        <v>1000</v>
      </c>
      <c r="N62" s="3">
        <f>J51*M62</f>
        <v>21554.216</v>
      </c>
    </row>
    <row r="63" spans="2:27" ht="15" thickBot="1" x14ac:dyDescent="0.35">
      <c r="B63" s="12"/>
      <c r="C63" s="12"/>
      <c r="D63" s="12"/>
      <c r="E63" s="12"/>
      <c r="G63" s="14"/>
      <c r="H63" s="14"/>
      <c r="I63"/>
      <c r="M63" s="1">
        <v>1000</v>
      </c>
      <c r="N63" s="3">
        <f>J50*M63</f>
        <v>22890.600000000002</v>
      </c>
    </row>
    <row r="64" spans="2:27" x14ac:dyDescent="0.3">
      <c r="B64" s="12"/>
      <c r="C64" s="53" t="s">
        <v>119</v>
      </c>
      <c r="D64" s="54"/>
      <c r="E64" s="64"/>
      <c r="G64" s="14"/>
      <c r="H64" s="14"/>
      <c r="I64"/>
    </row>
    <row r="65" spans="2:19" x14ac:dyDescent="0.3">
      <c r="B65" s="12"/>
      <c r="C65" s="56"/>
      <c r="D65" s="50"/>
      <c r="E65" s="65"/>
      <c r="G65" s="14"/>
      <c r="H65" s="14"/>
      <c r="I65"/>
    </row>
    <row r="66" spans="2:19" s="5" customFormat="1" x14ac:dyDescent="0.3">
      <c r="B66" s="12"/>
      <c r="C66" s="56"/>
      <c r="D66" s="50"/>
      <c r="E66" s="65"/>
      <c r="F66" s="14"/>
      <c r="G66" s="6"/>
      <c r="H66" s="6"/>
      <c r="I66" s="6"/>
      <c r="J66" s="4"/>
      <c r="K66" s="4"/>
      <c r="L66" s="4"/>
      <c r="S66"/>
    </row>
    <row r="67" spans="2:19" x14ac:dyDescent="0.3">
      <c r="B67" s="12"/>
      <c r="C67" s="56" t="s">
        <v>88</v>
      </c>
      <c r="D67" s="50"/>
      <c r="E67" s="65">
        <f ca="1">E51</f>
        <v>15681.298135593224</v>
      </c>
      <c r="G67" s="15" t="s">
        <v>61</v>
      </c>
      <c r="H67" s="2">
        <v>0.4</v>
      </c>
    </row>
    <row r="68" spans="2:19" x14ac:dyDescent="0.3">
      <c r="B68" s="12"/>
      <c r="C68" s="56" t="s">
        <v>104</v>
      </c>
      <c r="D68" s="50"/>
      <c r="E68" s="65">
        <f>-E49*H67</f>
        <v>-10020</v>
      </c>
      <c r="G68" s="14"/>
      <c r="H68" s="14"/>
      <c r="I68"/>
    </row>
    <row r="69" spans="2:19" x14ac:dyDescent="0.3">
      <c r="B69" s="12"/>
      <c r="C69" s="56" t="s">
        <v>96</v>
      </c>
      <c r="D69" s="50"/>
      <c r="E69" s="65">
        <f ca="1">E67+E68</f>
        <v>5661.2981355932243</v>
      </c>
      <c r="G69" s="14"/>
      <c r="H69" s="14"/>
      <c r="I69"/>
    </row>
    <row r="70" spans="2:19" x14ac:dyDescent="0.3">
      <c r="B70" s="12"/>
      <c r="C70" s="56" t="s">
        <v>101</v>
      </c>
      <c r="D70" s="50"/>
      <c r="E70" s="66">
        <f>-E68/E10</f>
        <v>0.4</v>
      </c>
      <c r="G70" s="14"/>
      <c r="H70" s="14"/>
      <c r="I70"/>
    </row>
    <row r="71" spans="2:19" x14ac:dyDescent="0.3">
      <c r="B71" s="12"/>
      <c r="C71" s="56"/>
      <c r="D71" s="50"/>
      <c r="E71" s="65"/>
      <c r="G71" t="s">
        <v>109</v>
      </c>
      <c r="H71"/>
      <c r="I71" s="1">
        <v>2.5</v>
      </c>
    </row>
    <row r="72" spans="2:19" x14ac:dyDescent="0.3">
      <c r="B72" s="12"/>
      <c r="C72" s="56" t="s">
        <v>102</v>
      </c>
      <c r="D72" s="50"/>
      <c r="E72" s="65">
        <f>E47*2.5</f>
        <v>105.05211864406782</v>
      </c>
      <c r="G72" t="s">
        <v>110</v>
      </c>
      <c r="H72"/>
      <c r="I72" s="1">
        <v>1</v>
      </c>
    </row>
    <row r="73" spans="2:19" x14ac:dyDescent="0.3">
      <c r="B73" s="12"/>
      <c r="C73" s="56" t="s">
        <v>97</v>
      </c>
      <c r="D73" s="50"/>
      <c r="E73" s="65">
        <f>I72*E72*1000</f>
        <v>105052.11864406781</v>
      </c>
      <c r="G73"/>
      <c r="H73"/>
      <c r="I73"/>
    </row>
    <row r="74" spans="2:19" x14ac:dyDescent="0.3">
      <c r="B74" s="12"/>
      <c r="C74" s="17" t="s">
        <v>103</v>
      </c>
      <c r="D74" s="37">
        <v>0</v>
      </c>
      <c r="E74" s="65">
        <f>E73*-D74</f>
        <v>0</v>
      </c>
      <c r="G74" s="14"/>
      <c r="H74" s="14"/>
      <c r="I74"/>
    </row>
    <row r="75" spans="2:19" x14ac:dyDescent="0.3">
      <c r="B75" s="12"/>
      <c r="C75" s="56" t="s">
        <v>98</v>
      </c>
      <c r="D75" s="50"/>
      <c r="E75" s="65">
        <f>E73+E74</f>
        <v>105052.11864406781</v>
      </c>
      <c r="G75" s="14" t="s">
        <v>105</v>
      </c>
      <c r="H75" t="s">
        <v>106</v>
      </c>
      <c r="I75" t="s">
        <v>107</v>
      </c>
    </row>
    <row r="76" spans="2:19" x14ac:dyDescent="0.3">
      <c r="B76" s="12"/>
      <c r="C76" s="56"/>
      <c r="D76" s="50"/>
      <c r="E76" s="65"/>
      <c r="G76" s="1">
        <v>1480</v>
      </c>
      <c r="H76" s="2">
        <v>0.4</v>
      </c>
      <c r="I76" s="1">
        <v>0.12</v>
      </c>
      <c r="J76"/>
    </row>
    <row r="77" spans="2:19" ht="15" thickBot="1" x14ac:dyDescent="0.35">
      <c r="B77" s="12"/>
      <c r="C77" s="60" t="s">
        <v>121</v>
      </c>
      <c r="D77" s="68"/>
      <c r="E77" s="69">
        <f>H76*G76*I76*E72</f>
        <v>7462.9025084745772</v>
      </c>
      <c r="G77" s="14"/>
      <c r="H77"/>
      <c r="I77"/>
      <c r="J77"/>
      <c r="K77"/>
      <c r="L77"/>
    </row>
    <row r="78" spans="2:19" x14ac:dyDescent="0.3">
      <c r="B78" s="12"/>
      <c r="C78" s="49"/>
      <c r="D78" s="49"/>
      <c r="E78" s="70"/>
      <c r="F78" s="51"/>
      <c r="G78" s="50"/>
      <c r="H78" s="50"/>
      <c r="I78" s="50"/>
      <c r="J78" s="12"/>
      <c r="K78" s="12"/>
      <c r="L78" s="12"/>
      <c r="M78" s="50"/>
      <c r="N78" s="50"/>
      <c r="O78" s="50"/>
      <c r="P78" s="50"/>
      <c r="Q78" s="50"/>
      <c r="R78" s="50"/>
      <c r="S78" s="50"/>
    </row>
    <row r="79" spans="2:19" ht="15" thickBot="1" x14ac:dyDescent="0.35">
      <c r="B79" s="12"/>
      <c r="C79" s="50"/>
      <c r="D79" s="50"/>
      <c r="E79" s="50"/>
      <c r="F79" s="51"/>
      <c r="G79" s="51"/>
      <c r="H79" s="51"/>
      <c r="I79" s="50"/>
      <c r="J79" s="12"/>
      <c r="K79" s="12"/>
      <c r="L79" s="12"/>
      <c r="M79" s="50"/>
      <c r="N79" s="50"/>
      <c r="O79" s="50"/>
      <c r="P79" s="50"/>
      <c r="Q79" s="50"/>
      <c r="R79" s="50"/>
      <c r="S79" s="50"/>
    </row>
    <row r="80" spans="2:19" x14ac:dyDescent="0.3">
      <c r="B80" s="12"/>
      <c r="C80" s="53" t="s">
        <v>116</v>
      </c>
      <c r="D80" s="54"/>
      <c r="E80" s="64"/>
      <c r="F80" s="51"/>
      <c r="G80" s="51"/>
      <c r="H80" s="51"/>
      <c r="I80" s="50"/>
      <c r="J80" s="12"/>
      <c r="K80" s="12"/>
      <c r="L80" s="12"/>
      <c r="M80" s="50"/>
      <c r="N80" s="50"/>
      <c r="O80" s="50"/>
      <c r="P80" s="50"/>
      <c r="Q80" s="50"/>
      <c r="R80" s="50"/>
      <c r="S80" s="50"/>
    </row>
    <row r="81" spans="2:19" x14ac:dyDescent="0.3">
      <c r="B81" s="12"/>
      <c r="C81" s="56"/>
      <c r="D81" s="50"/>
      <c r="E81" s="65"/>
      <c r="F81" s="51"/>
      <c r="G81" s="51"/>
      <c r="H81" s="51"/>
      <c r="I81" s="50"/>
      <c r="J81" s="12"/>
      <c r="K81" s="12"/>
      <c r="L81" s="12"/>
      <c r="M81" s="50"/>
      <c r="N81" s="50"/>
      <c r="O81" s="50"/>
      <c r="P81" s="50"/>
      <c r="Q81" s="50"/>
      <c r="R81" s="50"/>
      <c r="S81" s="50"/>
    </row>
    <row r="82" spans="2:19" x14ac:dyDescent="0.3">
      <c r="B82" s="12"/>
      <c r="C82" s="56" t="s">
        <v>113</v>
      </c>
      <c r="D82" s="50"/>
      <c r="E82" s="65">
        <f>E10</f>
        <v>25050</v>
      </c>
      <c r="F82" s="51"/>
      <c r="G82" s="51"/>
      <c r="H82" s="51"/>
      <c r="I82" s="50"/>
      <c r="J82" s="12"/>
      <c r="K82" s="12"/>
      <c r="L82" s="12"/>
      <c r="M82" s="50"/>
      <c r="N82" s="50"/>
      <c r="O82" s="50"/>
      <c r="P82" s="50"/>
      <c r="Q82" s="50"/>
      <c r="R82" s="50"/>
      <c r="S82" s="50"/>
    </row>
    <row r="83" spans="2:19" x14ac:dyDescent="0.3">
      <c r="B83" s="12"/>
      <c r="C83" s="56" t="s">
        <v>111</v>
      </c>
      <c r="D83" s="50"/>
      <c r="E83" s="65">
        <f>E53+E52</f>
        <v>-9368.7018644067757</v>
      </c>
      <c r="F83" s="51"/>
      <c r="G83" s="51"/>
      <c r="H83" s="51"/>
      <c r="I83" s="50"/>
      <c r="J83" s="12"/>
      <c r="K83" s="12"/>
      <c r="L83" s="12"/>
      <c r="M83" s="50"/>
      <c r="N83" s="50"/>
      <c r="O83" s="50"/>
      <c r="P83" s="50"/>
      <c r="Q83" s="50"/>
      <c r="R83" s="50"/>
      <c r="S83" s="50"/>
    </row>
    <row r="84" spans="2:19" x14ac:dyDescent="0.3">
      <c r="B84" s="12"/>
      <c r="C84" s="56" t="s">
        <v>99</v>
      </c>
      <c r="D84" s="50"/>
      <c r="E84" s="65">
        <f>E68</f>
        <v>-10020</v>
      </c>
      <c r="F84" s="51"/>
      <c r="G84" s="51"/>
      <c r="H84" s="51"/>
      <c r="I84" s="50"/>
      <c r="J84" s="12"/>
      <c r="K84" s="12"/>
      <c r="L84" s="12"/>
      <c r="M84" s="50"/>
      <c r="N84" s="50"/>
      <c r="O84" s="50"/>
      <c r="P84" s="50"/>
      <c r="Q84" s="50"/>
      <c r="R84" s="50"/>
      <c r="S84" s="50"/>
    </row>
    <row r="85" spans="2:19" x14ac:dyDescent="0.3">
      <c r="B85" s="12"/>
      <c r="C85" s="56" t="s">
        <v>112</v>
      </c>
      <c r="D85" s="50"/>
      <c r="E85" s="65">
        <f>-E77</f>
        <v>-7462.9025084745772</v>
      </c>
      <c r="F85" s="51"/>
      <c r="G85" s="52"/>
      <c r="H85" s="52"/>
      <c r="I85" s="52"/>
      <c r="J85" s="12"/>
      <c r="K85" s="12"/>
      <c r="L85" s="12"/>
      <c r="M85" s="50"/>
      <c r="N85" s="50"/>
      <c r="O85" s="50"/>
      <c r="P85" s="50"/>
      <c r="Q85" s="50"/>
      <c r="R85" s="50"/>
      <c r="S85" s="50"/>
    </row>
    <row r="86" spans="2:19" ht="15" thickBot="1" x14ac:dyDescent="0.35">
      <c r="B86" s="12"/>
      <c r="C86" s="59" t="s">
        <v>114</v>
      </c>
      <c r="D86" s="62"/>
      <c r="E86" s="67">
        <f>SUM(E82:E85)</f>
        <v>-1801.6043728813529</v>
      </c>
      <c r="F86" s="51"/>
      <c r="G86" s="52"/>
      <c r="H86" s="52"/>
      <c r="I86" s="52"/>
      <c r="J86" s="12"/>
      <c r="K86" s="12"/>
      <c r="L86" s="12"/>
      <c r="M86" s="50"/>
      <c r="N86" s="50"/>
      <c r="O86" s="50"/>
      <c r="P86" s="50"/>
      <c r="Q86" s="50"/>
      <c r="R86" s="50"/>
      <c r="S86" s="50"/>
    </row>
    <row r="87" spans="2:19" x14ac:dyDescent="0.3">
      <c r="B87" s="12"/>
      <c r="C87" s="50"/>
      <c r="D87" s="50"/>
      <c r="E87" s="50"/>
      <c r="F87" s="51"/>
      <c r="G87" s="52"/>
      <c r="H87" s="52"/>
      <c r="I87" s="52"/>
      <c r="J87" s="12"/>
      <c r="K87" s="12"/>
      <c r="L87" s="12"/>
      <c r="M87" s="50"/>
      <c r="N87" s="50"/>
      <c r="O87" s="50"/>
      <c r="P87" s="50"/>
      <c r="Q87" s="50"/>
      <c r="R87" s="50"/>
      <c r="S87" s="50"/>
    </row>
    <row r="88" spans="2:19" ht="15" thickBot="1" x14ac:dyDescent="0.35">
      <c r="B88" s="12"/>
      <c r="C88" s="50"/>
      <c r="D88" s="50"/>
      <c r="E88" s="50"/>
      <c r="F88" s="51"/>
      <c r="G88" s="51"/>
      <c r="H88" s="51"/>
      <c r="I88" s="50"/>
      <c r="J88" s="12"/>
      <c r="K88" s="12"/>
      <c r="L88" s="12"/>
      <c r="M88" s="50"/>
      <c r="N88" s="50"/>
      <c r="O88" s="50"/>
      <c r="P88" s="50"/>
      <c r="Q88" s="50"/>
      <c r="R88" s="50"/>
      <c r="S88" s="50"/>
    </row>
    <row r="89" spans="2:19" x14ac:dyDescent="0.3">
      <c r="B89" s="12"/>
      <c r="C89" s="53" t="s">
        <v>117</v>
      </c>
      <c r="D89" s="54"/>
      <c r="E89" s="71"/>
      <c r="F89" s="51"/>
      <c r="G89" s="51"/>
      <c r="H89" s="51"/>
      <c r="I89" s="50"/>
      <c r="J89" s="12"/>
      <c r="K89" s="12"/>
      <c r="L89" s="12"/>
      <c r="M89" s="50"/>
      <c r="N89" s="50"/>
      <c r="O89" s="50"/>
      <c r="P89" s="50"/>
      <c r="Q89" s="50"/>
      <c r="R89" s="50"/>
      <c r="S89" s="50"/>
    </row>
    <row r="90" spans="2:19" x14ac:dyDescent="0.3">
      <c r="B90" s="12"/>
      <c r="C90" s="56"/>
      <c r="D90" s="50"/>
      <c r="E90" s="72"/>
      <c r="F90" s="51"/>
      <c r="G90" s="51"/>
      <c r="H90" s="51"/>
      <c r="I90" s="50"/>
      <c r="J90" s="12"/>
      <c r="K90" s="12"/>
      <c r="L90" s="12"/>
      <c r="M90" s="50"/>
      <c r="N90" s="50"/>
      <c r="O90" s="50"/>
      <c r="P90" s="50"/>
      <c r="Q90" s="50"/>
      <c r="R90" s="50"/>
      <c r="S90" s="50"/>
    </row>
    <row r="91" spans="2:19" x14ac:dyDescent="0.3">
      <c r="B91" s="12"/>
      <c r="C91" s="56" t="s">
        <v>20</v>
      </c>
      <c r="D91" s="50"/>
      <c r="E91" s="57"/>
      <c r="F91" s="51"/>
      <c r="G91" s="51"/>
      <c r="H91" s="51"/>
      <c r="I91" s="50"/>
      <c r="J91" s="12"/>
      <c r="K91" s="12"/>
      <c r="L91" s="12"/>
      <c r="M91" s="50"/>
      <c r="N91" s="50"/>
      <c r="O91" s="50"/>
      <c r="P91" s="50"/>
      <c r="Q91" s="50"/>
      <c r="R91" s="50"/>
      <c r="S91" s="50"/>
    </row>
    <row r="92" spans="2:19" hidden="1" x14ac:dyDescent="0.3">
      <c r="B92" s="12"/>
      <c r="C92" s="56" t="s">
        <v>21</v>
      </c>
      <c r="D92" s="50"/>
      <c r="E92" s="57"/>
      <c r="F92" s="51"/>
      <c r="G92" s="52"/>
      <c r="H92" s="52"/>
      <c r="I92" s="52"/>
      <c r="J92" s="12"/>
      <c r="K92" s="12"/>
      <c r="L92" s="12"/>
      <c r="M92" s="50"/>
      <c r="N92" s="50"/>
      <c r="O92" s="50"/>
      <c r="P92" s="50"/>
      <c r="Q92" s="50"/>
      <c r="R92" s="50"/>
      <c r="S92" s="50"/>
    </row>
    <row r="93" spans="2:19" hidden="1" x14ac:dyDescent="0.3">
      <c r="B93" s="12"/>
      <c r="C93" s="56" t="s">
        <v>22</v>
      </c>
      <c r="D93" s="50"/>
      <c r="E93" s="57"/>
      <c r="F93" s="51"/>
      <c r="G93" s="52"/>
      <c r="H93" s="70">
        <f>H41</f>
        <v>114.42600000000002</v>
      </c>
      <c r="I93" s="70"/>
      <c r="J93" s="12"/>
      <c r="K93" s="12"/>
      <c r="L93" s="12"/>
      <c r="M93" s="50"/>
      <c r="N93" s="50"/>
      <c r="O93" s="50"/>
      <c r="P93" s="50"/>
      <c r="Q93" s="50"/>
      <c r="R93" s="50"/>
      <c r="S93" s="50"/>
    </row>
    <row r="94" spans="2:19" hidden="1" x14ac:dyDescent="0.3">
      <c r="B94" s="12"/>
      <c r="C94" s="73"/>
      <c r="D94" s="49"/>
      <c r="E94" s="65"/>
      <c r="F94" s="51"/>
      <c r="G94" s="74">
        <f>SUM(G29:G44)</f>
        <v>0.39909604519774011</v>
      </c>
      <c r="H94" s="52">
        <f>1-H93/E21</f>
        <v>0.35352542372881346</v>
      </c>
      <c r="I94" s="52"/>
      <c r="J94" s="70">
        <f>H94*J104</f>
        <v>8131.0847457627096</v>
      </c>
      <c r="K94" s="12"/>
      <c r="L94" s="12"/>
      <c r="M94" s="50"/>
      <c r="N94" s="50"/>
      <c r="O94" s="50"/>
      <c r="P94" s="50"/>
      <c r="Q94" s="50"/>
      <c r="R94" s="50"/>
      <c r="S94" s="50"/>
    </row>
    <row r="95" spans="2:19" hidden="1" x14ac:dyDescent="0.3">
      <c r="B95" s="12"/>
      <c r="C95" s="56"/>
      <c r="D95" s="50"/>
      <c r="E95" s="57"/>
      <c r="F95" s="51"/>
      <c r="G95" s="52"/>
      <c r="H95" s="52"/>
      <c r="I95" s="52"/>
      <c r="J95" s="12"/>
      <c r="K95" s="12"/>
      <c r="L95" s="12"/>
      <c r="M95" s="50"/>
      <c r="N95" s="50"/>
      <c r="O95" s="50"/>
      <c r="P95" s="50"/>
      <c r="Q95" s="50"/>
      <c r="R95" s="50"/>
      <c r="S95" s="50"/>
    </row>
    <row r="96" spans="2:19" s="5" customFormat="1" hidden="1" x14ac:dyDescent="0.3">
      <c r="B96" s="75"/>
      <c r="C96" s="56" t="s">
        <v>51</v>
      </c>
      <c r="D96" s="50"/>
      <c r="E96" s="57"/>
      <c r="F96" s="51"/>
      <c r="G96" s="76"/>
      <c r="H96" s="76"/>
      <c r="I96" s="76"/>
      <c r="J96" s="75"/>
      <c r="K96" s="75"/>
      <c r="L96" s="75"/>
      <c r="M96" s="49"/>
      <c r="N96" s="49"/>
      <c r="O96" s="49"/>
      <c r="P96" s="49"/>
      <c r="Q96" s="49"/>
      <c r="R96" s="49"/>
      <c r="S96" s="49"/>
    </row>
    <row r="97" spans="2:19" hidden="1" x14ac:dyDescent="0.3">
      <c r="B97" s="12"/>
      <c r="C97" s="56" t="s">
        <v>37</v>
      </c>
      <c r="D97" s="50"/>
      <c r="E97" s="57"/>
      <c r="F97" s="51"/>
      <c r="G97" s="52"/>
      <c r="H97" s="52"/>
      <c r="I97" s="52"/>
      <c r="J97" s="12"/>
      <c r="K97" s="12"/>
      <c r="L97" s="12"/>
      <c r="M97" s="50"/>
      <c r="N97" s="50"/>
      <c r="O97" s="50"/>
      <c r="P97" s="50"/>
      <c r="Q97" s="50"/>
      <c r="R97" s="50"/>
      <c r="S97" s="50"/>
    </row>
    <row r="98" spans="2:19" hidden="1" x14ac:dyDescent="0.3">
      <c r="B98" s="12"/>
      <c r="C98" s="56"/>
      <c r="D98" s="50"/>
      <c r="E98" s="57"/>
      <c r="F98" s="51"/>
      <c r="G98" s="52"/>
      <c r="H98" s="52"/>
      <c r="I98" s="52"/>
      <c r="J98" s="12"/>
      <c r="K98" s="12"/>
      <c r="L98" s="12"/>
      <c r="M98" s="50"/>
      <c r="N98" s="50"/>
      <c r="O98" s="50"/>
      <c r="P98" s="50"/>
      <c r="Q98" s="50"/>
      <c r="R98" s="50"/>
      <c r="S98" s="50"/>
    </row>
    <row r="99" spans="2:19" hidden="1" x14ac:dyDescent="0.3">
      <c r="B99" s="12"/>
      <c r="C99" s="73" t="s">
        <v>53</v>
      </c>
      <c r="D99" s="49"/>
      <c r="E99" s="77"/>
      <c r="F99" s="51"/>
      <c r="G99" s="52"/>
      <c r="H99" s="52"/>
      <c r="I99" s="52"/>
      <c r="J99" s="12"/>
      <c r="K99" s="12"/>
      <c r="L99" s="12"/>
      <c r="M99" s="50"/>
      <c r="N99" s="50"/>
      <c r="O99" s="50"/>
      <c r="P99" s="50"/>
      <c r="Q99" s="50"/>
      <c r="R99" s="50"/>
      <c r="S99" s="50"/>
    </row>
    <row r="100" spans="2:19" hidden="1" x14ac:dyDescent="0.3">
      <c r="B100" s="12"/>
      <c r="C100" s="56" t="s">
        <v>54</v>
      </c>
      <c r="D100" s="50"/>
      <c r="E100" s="78">
        <f>E26*0.736*1.05</f>
        <v>50.231999999999999</v>
      </c>
      <c r="F100" s="51"/>
      <c r="G100" s="52">
        <f>H94</f>
        <v>0.35352542372881346</v>
      </c>
      <c r="H100" s="70">
        <f>E100*H94</f>
        <v>17.758289084745758</v>
      </c>
      <c r="I100" s="70"/>
      <c r="J100" s="12"/>
      <c r="K100" s="12"/>
      <c r="L100" s="12"/>
      <c r="M100" s="50"/>
      <c r="N100" s="50"/>
      <c r="O100" s="50"/>
      <c r="P100" s="50"/>
      <c r="Q100" s="50"/>
      <c r="R100" s="50"/>
      <c r="S100" s="50"/>
    </row>
    <row r="101" spans="2:19" hidden="1" x14ac:dyDescent="0.3">
      <c r="B101" s="12"/>
      <c r="C101" s="56" t="s">
        <v>57</v>
      </c>
      <c r="D101" s="50"/>
      <c r="E101" s="57" t="s">
        <v>55</v>
      </c>
      <c r="F101" s="51"/>
      <c r="G101" s="52"/>
      <c r="H101" s="52"/>
      <c r="I101" s="52"/>
      <c r="J101" s="12"/>
      <c r="K101" s="12"/>
      <c r="L101" s="12"/>
      <c r="M101" s="50"/>
      <c r="N101" s="50"/>
      <c r="O101" s="50"/>
      <c r="P101" s="50"/>
      <c r="Q101" s="50"/>
      <c r="R101" s="50"/>
      <c r="S101" s="50"/>
    </row>
    <row r="102" spans="2:19" hidden="1" x14ac:dyDescent="0.3">
      <c r="B102" s="12"/>
      <c r="C102" s="56" t="s">
        <v>56</v>
      </c>
      <c r="D102" s="50"/>
      <c r="E102" s="57" t="s">
        <v>58</v>
      </c>
      <c r="F102" s="51"/>
      <c r="G102" s="52">
        <f>J102/J104</f>
        <v>0.33122585851142217</v>
      </c>
      <c r="H102" s="52"/>
      <c r="I102" s="52"/>
      <c r="J102" s="70">
        <f>E52+J94</f>
        <v>7618.1947457627093</v>
      </c>
      <c r="K102" s="12"/>
      <c r="L102" s="12"/>
      <c r="M102" s="50"/>
      <c r="N102" s="50"/>
      <c r="O102" s="50"/>
      <c r="P102" s="50"/>
      <c r="Q102" s="50"/>
      <c r="R102" s="50"/>
      <c r="S102" s="50"/>
    </row>
    <row r="103" spans="2:19" hidden="1" x14ac:dyDescent="0.3">
      <c r="B103" s="12"/>
      <c r="C103" s="56" t="s">
        <v>52</v>
      </c>
      <c r="D103" s="50"/>
      <c r="E103" s="57"/>
      <c r="F103" s="51"/>
      <c r="G103" s="52"/>
      <c r="H103" s="52"/>
      <c r="I103" s="52"/>
      <c r="J103" s="12"/>
      <c r="K103" s="12"/>
      <c r="L103" s="12"/>
      <c r="M103" s="50"/>
      <c r="N103" s="50"/>
      <c r="O103" s="50"/>
      <c r="P103" s="50"/>
      <c r="Q103" s="50"/>
      <c r="R103" s="50"/>
      <c r="S103" s="50"/>
    </row>
    <row r="104" spans="2:19" hidden="1" x14ac:dyDescent="0.3">
      <c r="B104" s="12"/>
      <c r="C104" s="56"/>
      <c r="D104" s="50"/>
      <c r="E104" s="57"/>
      <c r="F104" s="51"/>
      <c r="G104" s="52"/>
      <c r="H104" s="12"/>
      <c r="I104" s="12"/>
      <c r="J104" s="12">
        <v>23000</v>
      </c>
      <c r="K104" s="12"/>
      <c r="L104" s="12"/>
      <c r="M104" s="50"/>
      <c r="N104" s="50"/>
      <c r="O104" s="50"/>
      <c r="P104" s="50"/>
      <c r="Q104" s="50"/>
      <c r="R104" s="50"/>
      <c r="S104" s="50"/>
    </row>
    <row r="105" spans="2:19" hidden="1" x14ac:dyDescent="0.3">
      <c r="B105" s="12"/>
      <c r="C105" s="73" t="s">
        <v>60</v>
      </c>
      <c r="D105" s="49"/>
      <c r="E105" s="57"/>
      <c r="F105" s="51"/>
      <c r="G105" s="52"/>
      <c r="H105" s="52"/>
      <c r="I105" s="52"/>
      <c r="J105" s="12"/>
      <c r="K105" s="12"/>
      <c r="L105" s="12"/>
      <c r="M105" s="50"/>
      <c r="N105" s="50"/>
      <c r="O105" s="50"/>
      <c r="P105" s="50"/>
      <c r="Q105" s="50"/>
      <c r="R105" s="50"/>
      <c r="S105" s="50"/>
    </row>
    <row r="106" spans="2:19" hidden="1" x14ac:dyDescent="0.3">
      <c r="B106" s="12"/>
      <c r="C106" s="56"/>
      <c r="D106" s="50"/>
      <c r="E106" s="57"/>
      <c r="F106" s="51"/>
      <c r="G106" s="52"/>
      <c r="H106" s="52"/>
      <c r="I106" s="52"/>
      <c r="J106" s="12"/>
      <c r="K106" s="12"/>
      <c r="L106" s="12"/>
      <c r="M106" s="50"/>
      <c r="N106" s="50"/>
      <c r="O106" s="50"/>
      <c r="P106" s="50"/>
      <c r="Q106" s="50"/>
      <c r="R106" s="50"/>
      <c r="S106" s="50"/>
    </row>
    <row r="107" spans="2:19" hidden="1" x14ac:dyDescent="0.3">
      <c r="B107" s="12"/>
      <c r="C107" s="56" t="s">
        <v>59</v>
      </c>
      <c r="D107" s="50"/>
      <c r="E107" s="57"/>
      <c r="F107" s="51"/>
      <c r="G107" s="52"/>
      <c r="H107" s="52"/>
      <c r="I107" s="52"/>
      <c r="J107" s="12"/>
      <c r="K107" s="12"/>
      <c r="L107" s="12"/>
      <c r="M107" s="50"/>
      <c r="N107" s="50"/>
      <c r="O107" s="50"/>
      <c r="P107" s="50"/>
      <c r="Q107" s="50"/>
      <c r="R107" s="50"/>
      <c r="S107" s="50"/>
    </row>
    <row r="108" spans="2:19" hidden="1" x14ac:dyDescent="0.3">
      <c r="B108" s="12"/>
      <c r="C108" s="56"/>
      <c r="D108" s="50"/>
      <c r="E108" s="57"/>
      <c r="F108" s="51"/>
      <c r="G108" s="52"/>
      <c r="H108" s="52"/>
      <c r="I108" s="52"/>
      <c r="J108" s="12"/>
      <c r="K108" s="12"/>
      <c r="L108" s="12"/>
      <c r="M108" s="50"/>
      <c r="N108" s="50"/>
      <c r="O108" s="50"/>
      <c r="P108" s="50"/>
      <c r="Q108" s="50"/>
      <c r="R108" s="50"/>
      <c r="S108" s="50"/>
    </row>
    <row r="109" spans="2:19" hidden="1" x14ac:dyDescent="0.3">
      <c r="B109" s="12"/>
      <c r="C109" s="56"/>
      <c r="D109" s="50"/>
      <c r="E109" s="57"/>
      <c r="F109" s="51"/>
      <c r="G109" s="52"/>
      <c r="H109" s="52"/>
      <c r="I109" s="52"/>
      <c r="J109" s="12"/>
      <c r="K109" s="12"/>
      <c r="L109" s="12"/>
      <c r="M109" s="50"/>
      <c r="N109" s="50"/>
      <c r="O109" s="50"/>
      <c r="P109" s="50"/>
      <c r="Q109" s="50"/>
      <c r="R109" s="50"/>
      <c r="S109" s="50"/>
    </row>
    <row r="110" spans="2:19" hidden="1" x14ac:dyDescent="0.3">
      <c r="B110" s="12"/>
      <c r="C110" s="56"/>
      <c r="D110" s="50"/>
      <c r="E110" s="57"/>
      <c r="F110" s="51"/>
      <c r="G110" s="52"/>
      <c r="H110" s="52"/>
      <c r="I110" s="52"/>
      <c r="J110" s="12"/>
      <c r="K110" s="12"/>
      <c r="L110" s="12"/>
      <c r="M110" s="50"/>
      <c r="N110" s="50"/>
      <c r="O110" s="50"/>
      <c r="P110" s="50"/>
      <c r="Q110" s="50"/>
      <c r="R110" s="50"/>
      <c r="S110" s="50"/>
    </row>
    <row r="111" spans="2:19" hidden="1" x14ac:dyDescent="0.3">
      <c r="B111" s="12"/>
      <c r="C111" s="56"/>
      <c r="D111" s="50"/>
      <c r="E111" s="57"/>
      <c r="F111" s="51"/>
      <c r="G111" s="52"/>
      <c r="H111" s="52"/>
      <c r="I111" s="52"/>
      <c r="J111" s="12"/>
      <c r="K111" s="12"/>
      <c r="L111" s="12"/>
      <c r="M111" s="50"/>
      <c r="N111" s="50"/>
      <c r="O111" s="50"/>
      <c r="P111" s="50"/>
      <c r="Q111" s="50"/>
      <c r="R111" s="50"/>
      <c r="S111" s="50"/>
    </row>
    <row r="112" spans="2:19" hidden="1" x14ac:dyDescent="0.3">
      <c r="B112" s="12"/>
      <c r="C112" s="56"/>
      <c r="D112" s="50"/>
      <c r="E112" s="57"/>
      <c r="F112" s="51"/>
      <c r="G112" s="52"/>
      <c r="H112" s="52"/>
      <c r="I112" s="52"/>
      <c r="J112" s="12"/>
      <c r="K112" s="12"/>
      <c r="L112" s="12"/>
      <c r="M112" s="50"/>
      <c r="N112" s="50"/>
      <c r="O112" s="50"/>
      <c r="P112" s="50"/>
      <c r="Q112" s="50"/>
      <c r="R112" s="50"/>
      <c r="S112" s="50"/>
    </row>
    <row r="113" spans="2:19" hidden="1" x14ac:dyDescent="0.3">
      <c r="B113" s="12"/>
      <c r="C113" s="56"/>
      <c r="D113" s="50"/>
      <c r="E113" s="57"/>
      <c r="F113" s="51"/>
      <c r="G113" s="52"/>
      <c r="H113" s="52"/>
      <c r="I113" s="52"/>
      <c r="J113" s="12"/>
      <c r="K113" s="12"/>
      <c r="L113" s="12"/>
      <c r="M113" s="50"/>
      <c r="N113" s="50"/>
      <c r="O113" s="50"/>
      <c r="P113" s="50"/>
      <c r="Q113" s="50"/>
      <c r="R113" s="50"/>
      <c r="S113" s="50"/>
    </row>
    <row r="114" spans="2:19" hidden="1" x14ac:dyDescent="0.3">
      <c r="B114" s="12" t="s">
        <v>43</v>
      </c>
      <c r="C114" s="56"/>
      <c r="D114" s="50"/>
      <c r="E114" s="57"/>
      <c r="F114" s="51"/>
      <c r="G114" s="52"/>
      <c r="H114" s="12"/>
      <c r="I114" s="12"/>
      <c r="J114" s="12"/>
      <c r="K114" s="12"/>
      <c r="L114" s="12"/>
      <c r="M114" s="50" t="s">
        <v>42</v>
      </c>
      <c r="N114" s="50"/>
      <c r="O114" s="50"/>
      <c r="P114" s="50"/>
      <c r="Q114" s="50"/>
      <c r="R114" s="50"/>
      <c r="S114" s="50"/>
    </row>
    <row r="115" spans="2:19" hidden="1" x14ac:dyDescent="0.3">
      <c r="B115" s="12" t="s">
        <v>44</v>
      </c>
      <c r="C115" s="56"/>
      <c r="D115" s="50"/>
      <c r="E115" s="57"/>
      <c r="F115" s="51"/>
      <c r="G115" s="52"/>
      <c r="H115" s="12"/>
      <c r="I115" s="12"/>
      <c r="J115" s="12"/>
      <c r="K115" s="12"/>
      <c r="L115" s="12"/>
      <c r="M115" s="50" t="s">
        <v>24</v>
      </c>
      <c r="N115" s="50"/>
      <c r="O115" s="50"/>
      <c r="P115" s="50"/>
      <c r="Q115" s="50" t="s">
        <v>19</v>
      </c>
      <c r="R115" s="50" t="s">
        <v>13</v>
      </c>
      <c r="S115" s="50"/>
    </row>
    <row r="116" spans="2:19" hidden="1" x14ac:dyDescent="0.3">
      <c r="B116" s="12" t="s">
        <v>44</v>
      </c>
      <c r="C116" s="56"/>
      <c r="D116" s="50"/>
      <c r="E116" s="57"/>
      <c r="F116" s="51"/>
      <c r="G116" s="52"/>
      <c r="H116" s="12"/>
      <c r="I116" s="12"/>
      <c r="J116" s="12"/>
      <c r="K116" s="12"/>
      <c r="L116" s="12"/>
      <c r="M116" s="50" t="s">
        <v>39</v>
      </c>
      <c r="N116" s="50" t="s">
        <v>40</v>
      </c>
      <c r="O116" s="50" t="s">
        <v>18</v>
      </c>
      <c r="P116" s="50" t="s">
        <v>18</v>
      </c>
      <c r="Q116" s="50" t="s">
        <v>18</v>
      </c>
      <c r="R116" s="50" t="s">
        <v>18</v>
      </c>
      <c r="S116" s="50"/>
    </row>
    <row r="117" spans="2:19" hidden="1" x14ac:dyDescent="0.3">
      <c r="B117" s="12"/>
      <c r="C117" s="56" t="s">
        <v>41</v>
      </c>
      <c r="D117" s="50"/>
      <c r="E117" s="57">
        <v>250</v>
      </c>
      <c r="F117" s="51"/>
      <c r="G117" s="52"/>
      <c r="H117" s="52"/>
      <c r="I117" s="52"/>
      <c r="J117" s="12"/>
      <c r="K117" s="12"/>
      <c r="L117" s="12"/>
      <c r="M117" s="50"/>
      <c r="N117" s="50"/>
      <c r="O117" s="50"/>
      <c r="P117" s="50"/>
      <c r="Q117" s="50"/>
      <c r="R117" s="50"/>
      <c r="S117" s="50"/>
    </row>
    <row r="118" spans="2:19" hidden="1" x14ac:dyDescent="0.3">
      <c r="B118" s="12"/>
      <c r="C118" s="56" t="s">
        <v>45</v>
      </c>
      <c r="D118" s="50"/>
      <c r="E118" s="57"/>
      <c r="F118" s="51"/>
      <c r="G118" s="52"/>
      <c r="H118" s="52"/>
      <c r="I118" s="52"/>
      <c r="J118" s="12"/>
      <c r="K118" s="12"/>
      <c r="L118" s="12"/>
      <c r="M118" s="50"/>
      <c r="N118" s="50"/>
      <c r="O118" s="50"/>
      <c r="P118" s="50"/>
      <c r="Q118" s="50"/>
      <c r="R118" s="50"/>
      <c r="S118" s="50"/>
    </row>
    <row r="119" spans="2:19" hidden="1" x14ac:dyDescent="0.3">
      <c r="B119" s="12"/>
      <c r="C119" s="56" t="s">
        <v>46</v>
      </c>
      <c r="D119" s="50"/>
      <c r="E119" s="57"/>
      <c r="F119" s="51"/>
      <c r="G119" s="52"/>
      <c r="H119" s="12"/>
      <c r="I119" s="12"/>
      <c r="J119" s="12"/>
      <c r="K119" s="12"/>
      <c r="L119" s="12"/>
      <c r="M119" s="50" t="s">
        <v>2</v>
      </c>
      <c r="N119" s="50"/>
      <c r="O119" s="50"/>
      <c r="P119" s="50"/>
      <c r="Q119" s="50"/>
      <c r="R119" s="50"/>
      <c r="S119" s="50"/>
    </row>
    <row r="120" spans="2:19" hidden="1" x14ac:dyDescent="0.3">
      <c r="B120" s="12"/>
      <c r="C120" s="56"/>
      <c r="D120" s="50"/>
      <c r="E120" s="57"/>
      <c r="F120" s="51"/>
      <c r="G120" s="52">
        <v>0.1</v>
      </c>
      <c r="H120" s="70">
        <f>H118-G120*H118</f>
        <v>0</v>
      </c>
      <c r="I120" s="52">
        <f t="shared" ref="I120" si="5">1-H120/$E$21</f>
        <v>1</v>
      </c>
      <c r="J120" s="79">
        <f>I120-I118</f>
        <v>1</v>
      </c>
      <c r="K120" s="79">
        <f t="shared" ref="K120" si="6">J120</f>
        <v>1</v>
      </c>
      <c r="L120" s="79"/>
      <c r="M120" s="12" t="s">
        <v>11</v>
      </c>
      <c r="N120" s="12" t="s">
        <v>1</v>
      </c>
      <c r="O120" s="50"/>
      <c r="P120" s="50"/>
      <c r="Q120" s="50"/>
      <c r="R120" s="50"/>
      <c r="S120" s="50"/>
    </row>
    <row r="121" spans="2:19" hidden="1" x14ac:dyDescent="0.3">
      <c r="B121" s="12"/>
      <c r="C121" s="56"/>
      <c r="D121" s="50"/>
      <c r="E121" s="57"/>
      <c r="F121" s="51"/>
      <c r="G121" s="52"/>
      <c r="H121" s="52"/>
      <c r="I121" s="52"/>
      <c r="J121" s="12"/>
      <c r="K121" s="12"/>
      <c r="L121" s="12"/>
      <c r="M121" s="50"/>
      <c r="N121" s="50"/>
      <c r="O121" s="50"/>
      <c r="P121" s="50"/>
      <c r="Q121" s="50"/>
      <c r="R121" s="50"/>
      <c r="S121" s="50"/>
    </row>
    <row r="122" spans="2:19" x14ac:dyDescent="0.3">
      <c r="B122" s="12"/>
      <c r="C122" s="56" t="s">
        <v>47</v>
      </c>
      <c r="D122" s="50"/>
      <c r="E122" s="57"/>
      <c r="F122" s="51"/>
      <c r="G122" s="52"/>
      <c r="H122" s="52"/>
      <c r="I122" s="52"/>
      <c r="J122" s="12"/>
      <c r="K122" s="12"/>
      <c r="L122" s="12"/>
      <c r="M122" s="50"/>
      <c r="N122" s="50"/>
      <c r="O122" s="50"/>
      <c r="P122" s="50"/>
      <c r="Q122" s="50"/>
      <c r="R122" s="50"/>
      <c r="S122" s="50"/>
    </row>
    <row r="123" spans="2:19" ht="15" thickBot="1" x14ac:dyDescent="0.35">
      <c r="B123" s="12"/>
      <c r="C123" s="59" t="s">
        <v>30</v>
      </c>
      <c r="D123" s="62"/>
      <c r="E123" s="80"/>
      <c r="F123" s="51"/>
      <c r="G123" s="52"/>
      <c r="H123" s="52"/>
      <c r="I123" s="52"/>
      <c r="J123" s="12"/>
      <c r="K123" s="12"/>
      <c r="L123" s="12"/>
      <c r="M123" s="50"/>
      <c r="N123" s="50"/>
      <c r="O123" s="50"/>
      <c r="P123" s="50"/>
      <c r="Q123" s="50"/>
      <c r="R123" s="50"/>
      <c r="S123" s="50"/>
    </row>
    <row r="124" spans="2:19" x14ac:dyDescent="0.3">
      <c r="B124" s="12"/>
      <c r="C124" s="50"/>
      <c r="D124" s="50"/>
      <c r="E124" s="12"/>
      <c r="F124" s="51"/>
      <c r="G124" s="52"/>
      <c r="H124" s="52"/>
      <c r="I124" s="52"/>
      <c r="J124" s="12"/>
      <c r="K124" s="12"/>
      <c r="L124" s="12"/>
      <c r="M124" s="50"/>
      <c r="N124" s="50"/>
      <c r="O124" s="50"/>
      <c r="P124" s="50"/>
      <c r="Q124" s="50"/>
      <c r="R124" s="50"/>
      <c r="S124" s="50"/>
    </row>
  </sheetData>
  <mergeCells count="7">
    <mergeCell ref="M36:Q36"/>
    <mergeCell ref="M20:R20"/>
    <mergeCell ref="M21:R21"/>
    <mergeCell ref="M26:Q26"/>
    <mergeCell ref="M33:Q33"/>
    <mergeCell ref="M34:Q34"/>
    <mergeCell ref="M35:Q35"/>
  </mergeCells>
  <hyperlinks>
    <hyperlink ref="E9" r:id="rId1" xr:uid="{DFDCF579-7D43-4A75-BE67-34E582EEF03D}"/>
  </hyperlinks>
  <pageMargins left="0.7" right="0.7" top="0.75" bottom="0.75" header="0.3" footer="0.3"/>
  <pageSetup paperSize="9"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3E8A-695F-4E28-9260-6ACCCC61CF82}">
  <dimension ref="A1:V78"/>
  <sheetViews>
    <sheetView zoomScale="80" zoomScaleNormal="80" workbookViewId="0">
      <selection activeCell="U51" sqref="C51:U66"/>
    </sheetView>
  </sheetViews>
  <sheetFormatPr baseColWidth="10" defaultRowHeight="14.4" x14ac:dyDescent="0.3"/>
  <cols>
    <col min="1" max="1" width="5.109375" style="14" customWidth="1"/>
    <col min="2" max="2" width="13.5546875" style="2" customWidth="1"/>
    <col min="3" max="3" width="13.21875" style="2" customWidth="1"/>
    <col min="4" max="4" width="11.5546875" style="2" customWidth="1"/>
    <col min="5" max="7" width="11.5546875" style="1" customWidth="1"/>
    <col min="8" max="8" width="16.5546875" customWidth="1"/>
    <col min="9" max="9" width="17" customWidth="1"/>
    <col min="10" max="10" width="20.77734375" customWidth="1"/>
    <col min="11" max="12" width="16.44140625" customWidth="1"/>
    <col min="13" max="13" width="15.33203125" customWidth="1"/>
    <col min="14" max="14" width="12.44140625" customWidth="1"/>
  </cols>
  <sheetData>
    <row r="1" spans="1:22" x14ac:dyDescent="0.3">
      <c r="A1" s="93" t="s">
        <v>151</v>
      </c>
    </row>
    <row r="2" spans="1:22" x14ac:dyDescent="0.3">
      <c r="B2" s="6"/>
      <c r="C2" s="6"/>
      <c r="D2" s="6"/>
      <c r="E2" s="4"/>
      <c r="F2" s="5"/>
      <c r="G2" s="5"/>
      <c r="H2" s="4" t="s">
        <v>142</v>
      </c>
      <c r="I2" s="4" t="s">
        <v>130</v>
      </c>
      <c r="J2" s="5" t="s">
        <v>131</v>
      </c>
      <c r="K2" s="5" t="s">
        <v>132</v>
      </c>
      <c r="L2" s="5" t="s">
        <v>133</v>
      </c>
      <c r="M2" s="5" t="s">
        <v>148</v>
      </c>
      <c r="N2" s="4" t="s">
        <v>145</v>
      </c>
      <c r="O2" s="4" t="s">
        <v>146</v>
      </c>
      <c r="P2" s="4" t="s">
        <v>147</v>
      </c>
      <c r="R2" s="4" t="s">
        <v>63</v>
      </c>
      <c r="V2" s="5"/>
    </row>
    <row r="3" spans="1:22" x14ac:dyDescent="0.3">
      <c r="A3" s="14" t="s">
        <v>138</v>
      </c>
      <c r="B3" s="1">
        <v>3.14</v>
      </c>
      <c r="C3" s="1">
        <v>270</v>
      </c>
      <c r="D3">
        <f>B3*C3*C3</f>
        <v>228906.00000000003</v>
      </c>
      <c r="E3" s="84">
        <f>D3/10000</f>
        <v>22.890600000000003</v>
      </c>
      <c r="F3" s="84">
        <f>E3-E3</f>
        <v>0</v>
      </c>
      <c r="G3" s="1">
        <f>42*100</f>
        <v>4200</v>
      </c>
      <c r="H3" s="3">
        <f>F3*G3</f>
        <v>0</v>
      </c>
      <c r="I3" s="1">
        <v>30</v>
      </c>
      <c r="J3" s="4">
        <f>9+I3</f>
        <v>39</v>
      </c>
      <c r="K3" s="1">
        <v>90</v>
      </c>
      <c r="L3" s="1">
        <f>J3+K3</f>
        <v>129</v>
      </c>
      <c r="M3" s="87">
        <v>2800</v>
      </c>
      <c r="N3" s="3">
        <f>E3*G3</f>
        <v>96140.520000000019</v>
      </c>
      <c r="O3" s="3">
        <f>E3*M3</f>
        <v>64093.680000000008</v>
      </c>
      <c r="P3" s="91">
        <f>N3-O3</f>
        <v>32046.840000000011</v>
      </c>
      <c r="Q3" s="14" t="s">
        <v>138</v>
      </c>
      <c r="R3">
        <v>0</v>
      </c>
    </row>
    <row r="4" spans="1:22" ht="13.8" customHeight="1" x14ac:dyDescent="0.3">
      <c r="A4" s="14" t="s">
        <v>137</v>
      </c>
      <c r="B4" s="1">
        <v>3.14</v>
      </c>
      <c r="C4" s="1">
        <v>262</v>
      </c>
      <c r="D4" s="85">
        <f>B4*C4*C4</f>
        <v>215542.16</v>
      </c>
      <c r="E4" s="84">
        <f>D4/10000</f>
        <v>21.554216</v>
      </c>
      <c r="F4" s="84">
        <f>E3-E4</f>
        <v>1.3363840000000025</v>
      </c>
      <c r="G4" s="1">
        <f t="shared" ref="G4:G7" si="0">42*100</f>
        <v>4200</v>
      </c>
      <c r="H4" s="3">
        <f>F4*G4</f>
        <v>5612.8128000000106</v>
      </c>
      <c r="I4" s="1">
        <v>12</v>
      </c>
      <c r="J4" s="4">
        <f>9+I4</f>
        <v>21</v>
      </c>
      <c r="K4" s="1">
        <v>90</v>
      </c>
      <c r="L4" s="1">
        <f>J4+K4</f>
        <v>111</v>
      </c>
      <c r="M4" s="3">
        <f>M3-O11</f>
        <v>2590.6976744186045</v>
      </c>
      <c r="N4" s="3">
        <f>E4*G4</f>
        <v>90527.707200000004</v>
      </c>
      <c r="O4" s="3">
        <f>E4*M4</f>
        <v>55840.457265116274</v>
      </c>
      <c r="P4" s="89">
        <f t="shared" ref="P4:P6" si="1">N4-O4</f>
        <v>34687.24993488373</v>
      </c>
      <c r="Q4" s="14" t="s">
        <v>137</v>
      </c>
      <c r="R4">
        <v>600</v>
      </c>
    </row>
    <row r="5" spans="1:22" x14ac:dyDescent="0.3">
      <c r="A5" s="14" t="s">
        <v>139</v>
      </c>
      <c r="B5" s="1">
        <v>3.14</v>
      </c>
      <c r="C5" s="1">
        <v>258</v>
      </c>
      <c r="D5" s="85">
        <f>B5*C5*C5</f>
        <v>209010.96</v>
      </c>
      <c r="E5" s="84">
        <f>D5/10000</f>
        <v>20.901095999999999</v>
      </c>
      <c r="F5" s="84">
        <f>E3-E5</f>
        <v>1.9895040000000037</v>
      </c>
      <c r="G5" s="1">
        <f t="shared" si="0"/>
        <v>4200</v>
      </c>
      <c r="H5" s="3">
        <f>F5*G5</f>
        <v>8355.9168000000154</v>
      </c>
      <c r="I5" s="1">
        <v>7</v>
      </c>
      <c r="J5" s="4">
        <f t="shared" ref="J5" si="2">9+I5</f>
        <v>16</v>
      </c>
      <c r="K5" s="1">
        <v>90</v>
      </c>
      <c r="L5" s="1">
        <f>J5+K5</f>
        <v>106</v>
      </c>
      <c r="M5" s="3">
        <f>M3-O12</f>
        <v>2532.5581395348836</v>
      </c>
      <c r="N5" s="3">
        <f>E5*G5</f>
        <v>87784.603199999998</v>
      </c>
      <c r="O5" s="3">
        <f>E5*M5</f>
        <v>52933.240799999992</v>
      </c>
      <c r="P5" s="88">
        <f t="shared" si="1"/>
        <v>34851.362400000005</v>
      </c>
      <c r="Q5" s="14" t="s">
        <v>139</v>
      </c>
      <c r="R5">
        <v>300</v>
      </c>
    </row>
    <row r="6" spans="1:22" s="5" customFormat="1" x14ac:dyDescent="0.3">
      <c r="A6" s="14" t="s">
        <v>140</v>
      </c>
      <c r="B6" s="1">
        <v>3.14</v>
      </c>
      <c r="C6" s="1">
        <v>250</v>
      </c>
      <c r="D6">
        <f>B6*C6*C6</f>
        <v>196250</v>
      </c>
      <c r="E6" s="84">
        <f>D6/10000</f>
        <v>19.625</v>
      </c>
      <c r="F6" s="84">
        <f>E3-E6</f>
        <v>3.2656000000000027</v>
      </c>
      <c r="G6" s="1">
        <f t="shared" si="0"/>
        <v>4200</v>
      </c>
      <c r="H6" s="3">
        <f>F6*G6</f>
        <v>13715.520000000011</v>
      </c>
      <c r="I6" s="4">
        <v>7</v>
      </c>
      <c r="J6" s="4">
        <f>9+I6</f>
        <v>16</v>
      </c>
      <c r="K6" s="1">
        <v>90</v>
      </c>
      <c r="L6" s="1">
        <f>J6+K6</f>
        <v>106</v>
      </c>
      <c r="M6" s="3">
        <f>M3-O13</f>
        <v>2532.5581395348836</v>
      </c>
      <c r="N6" s="3">
        <f>E6*G6</f>
        <v>82425</v>
      </c>
      <c r="O6" s="3">
        <f>E6*M6</f>
        <v>49701.453488372092</v>
      </c>
      <c r="P6" s="91">
        <f t="shared" si="1"/>
        <v>32723.546511627908</v>
      </c>
      <c r="Q6" s="14" t="s">
        <v>140</v>
      </c>
      <c r="R6" s="5">
        <v>0</v>
      </c>
    </row>
    <row r="7" spans="1:22" s="5" customFormat="1" x14ac:dyDescent="0.3">
      <c r="A7" s="2" t="s">
        <v>150</v>
      </c>
      <c r="B7" s="1">
        <v>3.14</v>
      </c>
      <c r="C7" s="1">
        <v>270</v>
      </c>
      <c r="D7">
        <f>B7*C7*C7</f>
        <v>228906.00000000003</v>
      </c>
      <c r="E7" s="84">
        <f>D7/10000</f>
        <v>22.890600000000003</v>
      </c>
      <c r="F7" s="84">
        <f>E3-E7</f>
        <v>0</v>
      </c>
      <c r="G7" s="1">
        <f t="shared" si="0"/>
        <v>4200</v>
      </c>
      <c r="H7" s="3">
        <f>F7*G7</f>
        <v>0</v>
      </c>
      <c r="I7" s="4">
        <v>7</v>
      </c>
      <c r="J7" s="4">
        <f>9+I7</f>
        <v>16</v>
      </c>
      <c r="K7" s="1">
        <v>90</v>
      </c>
      <c r="L7" s="1">
        <f>J7+K7</f>
        <v>106</v>
      </c>
      <c r="M7" s="3">
        <f>M4-O14</f>
        <v>2590.6976744186045</v>
      </c>
      <c r="N7" s="3">
        <f>E7*G7</f>
        <v>96140.520000000019</v>
      </c>
      <c r="O7" s="3">
        <f>E7*M7</f>
        <v>59302.624186046516</v>
      </c>
      <c r="P7" s="90">
        <f t="shared" ref="P7" si="3">N7-O7</f>
        <v>36837.895813953503</v>
      </c>
      <c r="Q7" s="2" t="s">
        <v>149</v>
      </c>
      <c r="R7">
        <v>4000</v>
      </c>
    </row>
    <row r="8" spans="1:22" s="5" customFormat="1" x14ac:dyDescent="0.3">
      <c r="A8" s="14"/>
      <c r="B8" s="1"/>
      <c r="C8" s="1"/>
      <c r="D8"/>
      <c r="E8" s="84"/>
      <c r="F8" s="84"/>
      <c r="G8" s="1"/>
      <c r="H8" s="3"/>
      <c r="I8" s="4"/>
      <c r="J8" s="4"/>
      <c r="K8" s="1"/>
      <c r="L8" s="1"/>
      <c r="M8" s="3"/>
      <c r="N8" s="3"/>
      <c r="O8" s="3"/>
      <c r="P8" s="3"/>
      <c r="Q8" s="14"/>
    </row>
    <row r="9" spans="1:22" x14ac:dyDescent="0.3">
      <c r="L9" s="4" t="s">
        <v>143</v>
      </c>
      <c r="M9" s="4" t="s">
        <v>144</v>
      </c>
      <c r="N9" s="4" t="s">
        <v>134</v>
      </c>
      <c r="O9" s="4" t="s">
        <v>135</v>
      </c>
      <c r="P9" s="4" t="s">
        <v>128</v>
      </c>
      <c r="Q9" s="4" t="s">
        <v>135</v>
      </c>
      <c r="R9" s="4" t="s">
        <v>127</v>
      </c>
      <c r="S9" s="4"/>
      <c r="T9" s="4" t="s">
        <v>129</v>
      </c>
    </row>
    <row r="10" spans="1:22" x14ac:dyDescent="0.3">
      <c r="L10" s="1">
        <v>1500</v>
      </c>
      <c r="M10" s="3">
        <f>L10-O10</f>
        <v>1500</v>
      </c>
      <c r="N10" s="2">
        <f>(L6-L6)/L6</f>
        <v>0</v>
      </c>
      <c r="O10" s="3">
        <f>N10*L13</f>
        <v>0</v>
      </c>
      <c r="P10" s="3">
        <f>M10*E3</f>
        <v>34335.9</v>
      </c>
      <c r="Q10" s="85">
        <f>P10-P10</f>
        <v>0</v>
      </c>
      <c r="R10" s="85">
        <f>E3*G3</f>
        <v>96140.520000000019</v>
      </c>
      <c r="S10" s="85">
        <f>R10-R10</f>
        <v>0</v>
      </c>
      <c r="T10" s="85">
        <f>S10+Q10</f>
        <v>0</v>
      </c>
    </row>
    <row r="11" spans="1:22" x14ac:dyDescent="0.3">
      <c r="L11" s="1">
        <v>1500</v>
      </c>
      <c r="M11" s="3">
        <f>L11-O11</f>
        <v>1290.6976744186047</v>
      </c>
      <c r="N11" s="2">
        <f>(L3-L4)/L3</f>
        <v>0.13953488372093023</v>
      </c>
      <c r="O11" s="3">
        <f>N11*L12</f>
        <v>209.30232558139534</v>
      </c>
      <c r="P11" s="3">
        <f>M11*E4</f>
        <v>27819.97646511628</v>
      </c>
      <c r="Q11" s="85">
        <f>-(P11-P10)</f>
        <v>6515.923534883721</v>
      </c>
      <c r="R11" s="85">
        <f>E4*G4</f>
        <v>90527.707200000004</v>
      </c>
      <c r="S11" s="85">
        <f>R11-R10</f>
        <v>-5612.8128000000142</v>
      </c>
      <c r="T11" s="85">
        <f>S11+Q11</f>
        <v>903.11073488370675</v>
      </c>
    </row>
    <row r="12" spans="1:22" x14ac:dyDescent="0.3">
      <c r="L12" s="1">
        <v>1500</v>
      </c>
      <c r="M12" s="3">
        <f>L12-O12</f>
        <v>1232.5581395348836</v>
      </c>
      <c r="N12" s="2">
        <f>(L3-L5)/L3</f>
        <v>0.17829457364341086</v>
      </c>
      <c r="O12" s="3">
        <f>N12*L11</f>
        <v>267.44186046511629</v>
      </c>
      <c r="P12" s="3">
        <f>M12*E5</f>
        <v>25761.815999999995</v>
      </c>
      <c r="Q12" s="85">
        <f>P10-P12</f>
        <v>8574.0840000000062</v>
      </c>
      <c r="R12" s="85">
        <f>E5*G5</f>
        <v>87784.603199999998</v>
      </c>
      <c r="S12" s="85">
        <f>R12-R10</f>
        <v>-8355.9168000000209</v>
      </c>
      <c r="T12" s="86">
        <f>S12+Q12</f>
        <v>218.16719999998531</v>
      </c>
    </row>
    <row r="13" spans="1:22" x14ac:dyDescent="0.3">
      <c r="L13" s="1">
        <v>1500</v>
      </c>
      <c r="M13" s="3">
        <f>L13-O13</f>
        <v>1232.5581395348836</v>
      </c>
      <c r="N13" s="2">
        <f>(L3-L6)/L3</f>
        <v>0.17829457364341086</v>
      </c>
      <c r="O13" s="3">
        <f>N13*L10</f>
        <v>267.44186046511629</v>
      </c>
      <c r="P13" s="3">
        <f>M13*E6</f>
        <v>24188.953488372092</v>
      </c>
      <c r="Q13" s="85">
        <f>P10-P13</f>
        <v>10146.94651162791</v>
      </c>
      <c r="R13" s="85">
        <f>E6*G6</f>
        <v>82425</v>
      </c>
      <c r="S13" s="85">
        <f>R13-R10</f>
        <v>-13715.520000000019</v>
      </c>
      <c r="T13" s="85">
        <f>S13+Q13</f>
        <v>-3568.5734883721088</v>
      </c>
    </row>
    <row r="14" spans="1:22" x14ac:dyDescent="0.3">
      <c r="H14" s="1"/>
      <c r="I14" s="1"/>
    </row>
    <row r="15" spans="1:22" x14ac:dyDescent="0.3">
      <c r="H15" s="1"/>
      <c r="I15" s="3"/>
    </row>
    <row r="16" spans="1:22" x14ac:dyDescent="0.3">
      <c r="B16" s="14"/>
      <c r="C16" s="14"/>
      <c r="D16"/>
      <c r="H16" s="1"/>
      <c r="I16" s="3"/>
    </row>
    <row r="17" spans="1:14" x14ac:dyDescent="0.3">
      <c r="B17" s="14"/>
      <c r="C17" s="14"/>
      <c r="D17"/>
      <c r="H17" s="1"/>
      <c r="I17" s="3"/>
    </row>
    <row r="18" spans="1:14" x14ac:dyDescent="0.3">
      <c r="B18" s="14"/>
      <c r="C18" s="14"/>
      <c r="D18"/>
    </row>
    <row r="19" spans="1:14" x14ac:dyDescent="0.3">
      <c r="B19" s="14"/>
      <c r="C19" s="14"/>
      <c r="D19"/>
    </row>
    <row r="20" spans="1:14" s="5" customFormat="1" x14ac:dyDescent="0.3">
      <c r="A20" s="14"/>
      <c r="B20" s="6"/>
      <c r="C20" s="6"/>
      <c r="D20" s="6"/>
      <c r="E20" s="4"/>
      <c r="F20" s="4"/>
      <c r="G20" s="4"/>
      <c r="N20"/>
    </row>
    <row r="21" spans="1:14" x14ac:dyDescent="0.3">
      <c r="B21" s="15"/>
    </row>
    <row r="22" spans="1:14" x14ac:dyDescent="0.3">
      <c r="B22" s="14"/>
      <c r="C22" s="14"/>
      <c r="D22"/>
    </row>
    <row r="23" spans="1:14" x14ac:dyDescent="0.3">
      <c r="B23" s="14"/>
      <c r="C23" s="14"/>
      <c r="D23"/>
    </row>
    <row r="24" spans="1:14" x14ac:dyDescent="0.3">
      <c r="B24" s="14"/>
      <c r="C24" s="14"/>
      <c r="D24"/>
    </row>
    <row r="25" spans="1:14" x14ac:dyDescent="0.3">
      <c r="B25"/>
      <c r="C25"/>
      <c r="D25" s="1"/>
    </row>
    <row r="26" spans="1:14" x14ac:dyDescent="0.3">
      <c r="B26"/>
      <c r="C26"/>
      <c r="D26" s="1"/>
    </row>
    <row r="27" spans="1:14" x14ac:dyDescent="0.3">
      <c r="B27"/>
      <c r="C27"/>
      <c r="D27"/>
    </row>
    <row r="28" spans="1:14" x14ac:dyDescent="0.3">
      <c r="B28" s="14"/>
      <c r="C28" s="14"/>
      <c r="D28"/>
    </row>
    <row r="29" spans="1:14" x14ac:dyDescent="0.3">
      <c r="B29" s="14"/>
      <c r="C29"/>
      <c r="D29"/>
    </row>
    <row r="30" spans="1:14" x14ac:dyDescent="0.3">
      <c r="B30" s="1"/>
      <c r="D30" s="1"/>
      <c r="E30"/>
    </row>
    <row r="31" spans="1:14" x14ac:dyDescent="0.3">
      <c r="B31" s="14"/>
      <c r="C31"/>
      <c r="D31"/>
      <c r="E31"/>
      <c r="F31"/>
      <c r="G31"/>
    </row>
    <row r="32" spans="1:14" x14ac:dyDescent="0.3">
      <c r="A32" s="51"/>
      <c r="B32" s="50"/>
      <c r="C32" s="50"/>
      <c r="D32" s="50"/>
      <c r="E32" s="12"/>
      <c r="F32" s="12"/>
      <c r="G32" s="12"/>
      <c r="H32" s="50"/>
      <c r="I32" s="50"/>
      <c r="J32" s="50"/>
      <c r="K32" s="50"/>
      <c r="L32" s="50"/>
      <c r="M32" s="50"/>
      <c r="N32" s="50"/>
    </row>
    <row r="33" spans="1:14" x14ac:dyDescent="0.3">
      <c r="A33" s="51"/>
      <c r="B33" s="51"/>
      <c r="C33" s="51"/>
      <c r="D33" s="50"/>
      <c r="E33" s="12"/>
      <c r="F33" s="12"/>
      <c r="G33" s="12"/>
      <c r="H33" s="50"/>
      <c r="I33" s="50"/>
      <c r="J33" s="50"/>
      <c r="K33" s="50"/>
      <c r="L33" s="50"/>
      <c r="M33" s="50"/>
      <c r="N33" s="50"/>
    </row>
    <row r="34" spans="1:14" x14ac:dyDescent="0.3">
      <c r="A34" s="51"/>
      <c r="B34" s="51"/>
      <c r="C34" s="51"/>
      <c r="D34" s="50"/>
      <c r="E34" s="12"/>
      <c r="F34" s="12"/>
      <c r="G34" s="12"/>
      <c r="H34" s="50"/>
      <c r="I34" s="50"/>
      <c r="J34" s="50"/>
      <c r="K34" s="50"/>
      <c r="L34" s="50"/>
      <c r="M34" s="50"/>
      <c r="N34" s="50"/>
    </row>
    <row r="35" spans="1:14" x14ac:dyDescent="0.3">
      <c r="A35" s="51"/>
      <c r="B35" s="51"/>
      <c r="C35" s="51"/>
      <c r="D35" s="50"/>
      <c r="E35" s="12"/>
      <c r="F35" s="12"/>
      <c r="G35" s="12"/>
      <c r="H35" s="50"/>
      <c r="I35" s="50"/>
      <c r="J35" s="50"/>
      <c r="K35" s="50"/>
      <c r="L35" s="50"/>
      <c r="M35" s="50"/>
      <c r="N35" s="50"/>
    </row>
    <row r="36" spans="1:14" x14ac:dyDescent="0.3">
      <c r="A36" s="51"/>
      <c r="B36" s="51"/>
      <c r="C36" s="51"/>
      <c r="D36" s="50"/>
      <c r="E36" s="12"/>
      <c r="F36" s="12"/>
      <c r="G36" s="12"/>
      <c r="H36" s="50"/>
      <c r="I36" s="50"/>
      <c r="J36" s="50"/>
      <c r="K36" s="50"/>
      <c r="L36" s="50"/>
      <c r="M36" s="50"/>
      <c r="N36" s="50"/>
    </row>
    <row r="37" spans="1:14" x14ac:dyDescent="0.3">
      <c r="A37" s="51"/>
      <c r="B37" s="51"/>
      <c r="C37" s="51"/>
      <c r="D37" s="50"/>
      <c r="E37" s="12"/>
      <c r="F37" s="12"/>
      <c r="G37" s="12"/>
      <c r="H37" s="50"/>
      <c r="I37" s="50"/>
      <c r="J37" s="50"/>
      <c r="K37" s="50"/>
      <c r="L37" s="50"/>
      <c r="M37" s="50"/>
      <c r="N37" s="50"/>
    </row>
    <row r="38" spans="1:14" x14ac:dyDescent="0.3">
      <c r="A38" s="51"/>
      <c r="B38" s="51"/>
      <c r="C38" s="51"/>
      <c r="D38" s="50"/>
      <c r="E38" s="12"/>
      <c r="F38" s="12"/>
      <c r="G38" s="12"/>
      <c r="H38" s="50"/>
      <c r="I38" s="50"/>
      <c r="J38" s="50"/>
      <c r="K38" s="50"/>
      <c r="L38" s="50"/>
      <c r="M38" s="50"/>
      <c r="N38" s="50"/>
    </row>
    <row r="39" spans="1:14" x14ac:dyDescent="0.3">
      <c r="A39" s="51"/>
      <c r="B39" s="52"/>
      <c r="C39" s="52"/>
      <c r="D39" s="52"/>
      <c r="E39" s="12"/>
      <c r="F39" s="12"/>
      <c r="G39" s="12"/>
      <c r="H39" s="50"/>
      <c r="I39" s="50"/>
      <c r="J39" s="50"/>
      <c r="K39" s="50"/>
      <c r="L39" s="50"/>
      <c r="M39" s="50"/>
      <c r="N39" s="50"/>
    </row>
    <row r="40" spans="1:14" x14ac:dyDescent="0.3">
      <c r="A40" s="51"/>
      <c r="B40" s="52"/>
      <c r="C40" s="52"/>
      <c r="D40" s="52"/>
      <c r="E40" s="12"/>
      <c r="F40" s="12"/>
      <c r="G40" s="12"/>
      <c r="H40" s="50"/>
      <c r="I40" s="50"/>
      <c r="J40" s="50"/>
      <c r="K40" s="50"/>
      <c r="L40" s="50"/>
      <c r="M40" s="50"/>
      <c r="N40" s="50"/>
    </row>
    <row r="41" spans="1:14" x14ac:dyDescent="0.3">
      <c r="A41" s="51"/>
      <c r="B41" s="52"/>
      <c r="C41" s="52"/>
      <c r="D41" s="52"/>
      <c r="E41" s="12"/>
      <c r="F41" s="12"/>
      <c r="G41" s="12"/>
      <c r="H41" s="50"/>
      <c r="I41" s="50"/>
      <c r="J41" s="50"/>
      <c r="K41" s="50"/>
      <c r="L41" s="50"/>
      <c r="M41" s="50"/>
      <c r="N41" s="50"/>
    </row>
    <row r="42" spans="1:14" x14ac:dyDescent="0.3">
      <c r="A42" s="51"/>
      <c r="B42" s="51"/>
      <c r="C42" s="51"/>
      <c r="D42" s="50"/>
      <c r="E42" s="12"/>
      <c r="F42" s="12"/>
      <c r="G42" s="12"/>
      <c r="H42" s="50"/>
      <c r="I42" s="50"/>
      <c r="J42" s="50"/>
      <c r="K42" s="50"/>
      <c r="L42" s="50"/>
      <c r="M42" s="50"/>
      <c r="N42" s="50"/>
    </row>
    <row r="43" spans="1:14" x14ac:dyDescent="0.3">
      <c r="A43" s="51"/>
      <c r="B43" s="51"/>
      <c r="C43" s="51"/>
      <c r="D43" s="50"/>
      <c r="E43" s="12"/>
      <c r="F43" s="12"/>
      <c r="G43" s="12"/>
      <c r="H43" s="50"/>
      <c r="I43" s="50"/>
      <c r="J43" s="50"/>
      <c r="K43" s="50"/>
      <c r="L43" s="50"/>
      <c r="M43" s="50"/>
      <c r="N43" s="50"/>
    </row>
    <row r="44" spans="1:14" x14ac:dyDescent="0.3">
      <c r="A44" s="51"/>
      <c r="B44" s="51"/>
      <c r="C44" s="51"/>
      <c r="D44" s="50"/>
      <c r="E44" s="12"/>
      <c r="F44" s="12"/>
      <c r="G44" s="12"/>
      <c r="H44" s="50"/>
      <c r="I44" s="50"/>
      <c r="J44" s="50"/>
      <c r="K44" s="50"/>
      <c r="L44" s="50"/>
      <c r="M44" s="50"/>
      <c r="N44" s="50"/>
    </row>
    <row r="45" spans="1:14" x14ac:dyDescent="0.3">
      <c r="A45" s="51"/>
      <c r="B45" s="51"/>
      <c r="C45" s="51"/>
      <c r="D45" s="50"/>
      <c r="E45" s="12"/>
      <c r="F45" s="12"/>
      <c r="G45" s="12"/>
      <c r="H45" s="50"/>
      <c r="I45" s="50"/>
      <c r="J45" s="50"/>
      <c r="K45" s="50"/>
      <c r="L45" s="50"/>
      <c r="M45" s="50"/>
      <c r="N45" s="50"/>
    </row>
    <row r="46" spans="1:14" hidden="1" x14ac:dyDescent="0.3">
      <c r="A46" s="51"/>
      <c r="B46" s="52"/>
      <c r="C46" s="52"/>
      <c r="D46" s="52"/>
      <c r="E46" s="12"/>
      <c r="F46" s="12"/>
      <c r="G46" s="12"/>
      <c r="H46" s="50"/>
      <c r="I46" s="50"/>
      <c r="J46" s="50"/>
      <c r="K46" s="50"/>
      <c r="L46" s="50"/>
      <c r="M46" s="50"/>
      <c r="N46" s="50"/>
    </row>
    <row r="47" spans="1:14" hidden="1" x14ac:dyDescent="0.3">
      <c r="A47" s="51"/>
      <c r="B47" s="52"/>
      <c r="C47" s="70" t="e">
        <f>#REF!</f>
        <v>#REF!</v>
      </c>
      <c r="D47" s="70"/>
      <c r="E47" s="12"/>
      <c r="F47" s="12"/>
      <c r="G47" s="12"/>
      <c r="H47" s="50"/>
      <c r="I47" s="50"/>
      <c r="J47" s="50"/>
      <c r="K47" s="50"/>
      <c r="L47" s="50"/>
      <c r="M47" s="50"/>
      <c r="N47" s="50"/>
    </row>
    <row r="48" spans="1:14" hidden="1" x14ac:dyDescent="0.3">
      <c r="A48" s="51"/>
      <c r="B48" s="74" t="e">
        <f>SUM(#REF!)</f>
        <v>#REF!</v>
      </c>
      <c r="C48" s="52" t="e">
        <f>1-C47/#REF!</f>
        <v>#REF!</v>
      </c>
      <c r="D48" s="52"/>
      <c r="E48" s="70" t="e">
        <f>C48*E58</f>
        <v>#REF!</v>
      </c>
      <c r="F48" s="12"/>
      <c r="G48" s="12"/>
      <c r="H48" s="50"/>
      <c r="I48" s="50"/>
      <c r="J48" s="50"/>
      <c r="K48" s="50"/>
      <c r="L48" s="50"/>
      <c r="M48" s="50"/>
      <c r="N48" s="50"/>
    </row>
    <row r="49" spans="1:21" hidden="1" x14ac:dyDescent="0.3">
      <c r="A49" s="51"/>
      <c r="B49" s="52"/>
      <c r="C49" s="52"/>
      <c r="D49" s="52"/>
      <c r="E49" s="12"/>
      <c r="F49" s="12"/>
      <c r="G49" s="12"/>
      <c r="H49" s="50"/>
      <c r="I49" s="50"/>
      <c r="J49" s="50"/>
      <c r="K49" s="50"/>
      <c r="L49" s="50"/>
      <c r="M49" s="50"/>
      <c r="N49" s="50"/>
    </row>
    <row r="50" spans="1:21" s="5" customFormat="1" hidden="1" x14ac:dyDescent="0.3">
      <c r="A50" s="51"/>
      <c r="B50" s="76"/>
      <c r="C50" s="76"/>
      <c r="D50" s="76"/>
      <c r="E50" s="75"/>
      <c r="F50" s="75"/>
      <c r="G50" s="75"/>
      <c r="H50" s="49"/>
      <c r="I50" s="49"/>
      <c r="J50" s="49"/>
      <c r="K50" s="49"/>
      <c r="L50" s="49"/>
      <c r="M50" s="49"/>
      <c r="N50" s="49"/>
    </row>
    <row r="51" spans="1:21" hidden="1" x14ac:dyDescent="0.3">
      <c r="A51" s="51"/>
      <c r="B51" s="52"/>
      <c r="C51" s="52"/>
      <c r="D51" s="52"/>
      <c r="E51" s="12"/>
      <c r="F51" s="12"/>
      <c r="G51" s="12"/>
      <c r="H51" s="50"/>
      <c r="I51" s="50"/>
      <c r="J51" s="50"/>
      <c r="K51" s="50"/>
      <c r="L51" s="50"/>
      <c r="M51" s="50"/>
      <c r="N51" s="50"/>
      <c r="U51" t="s">
        <v>152</v>
      </c>
    </row>
    <row r="52" spans="1:21" hidden="1" x14ac:dyDescent="0.3">
      <c r="A52" s="51"/>
      <c r="B52" s="52"/>
      <c r="C52" s="52"/>
      <c r="D52" s="52"/>
      <c r="E52" s="12"/>
      <c r="F52" s="12"/>
      <c r="G52" s="12"/>
      <c r="H52" s="50"/>
      <c r="I52" s="50"/>
      <c r="J52" s="50"/>
      <c r="K52" s="50"/>
      <c r="L52" s="50"/>
      <c r="M52" s="50"/>
      <c r="N52" s="50"/>
    </row>
    <row r="53" spans="1:21" hidden="1" x14ac:dyDescent="0.3">
      <c r="A53" s="51"/>
      <c r="B53" s="52"/>
      <c r="C53" s="52"/>
      <c r="D53" s="52"/>
      <c r="E53" s="12"/>
      <c r="F53" s="12"/>
      <c r="G53" s="12"/>
      <c r="H53" s="50"/>
      <c r="I53" s="50"/>
      <c r="J53" s="50"/>
      <c r="K53" s="50"/>
      <c r="L53" s="50"/>
      <c r="M53" s="50"/>
      <c r="N53" s="50"/>
    </row>
    <row r="54" spans="1:21" hidden="1" x14ac:dyDescent="0.3">
      <c r="A54" s="51"/>
      <c r="B54" s="52" t="e">
        <f>C48</f>
        <v>#REF!</v>
      </c>
      <c r="C54" s="70" t="e">
        <f>#REF!*C48</f>
        <v>#REF!</v>
      </c>
      <c r="D54" s="70"/>
      <c r="E54" s="12"/>
      <c r="F54" s="12"/>
      <c r="G54" s="12"/>
      <c r="H54" s="50"/>
      <c r="I54" s="50"/>
      <c r="J54" s="50"/>
      <c r="K54" s="50"/>
      <c r="L54" s="50"/>
      <c r="M54" s="50"/>
      <c r="N54" s="50"/>
    </row>
    <row r="55" spans="1:21" hidden="1" x14ac:dyDescent="0.3">
      <c r="A55" s="51"/>
      <c r="B55" s="52"/>
      <c r="C55" s="52"/>
      <c r="D55" s="52"/>
      <c r="E55" s="12"/>
      <c r="F55" s="12"/>
      <c r="G55" s="12"/>
      <c r="H55" s="50"/>
      <c r="I55" s="50"/>
      <c r="J55" s="50"/>
      <c r="K55" s="50"/>
      <c r="L55" s="50"/>
      <c r="M55" s="50"/>
      <c r="N55" s="50"/>
    </row>
    <row r="56" spans="1:21" hidden="1" x14ac:dyDescent="0.3">
      <c r="A56" s="51"/>
      <c r="B56" s="52" t="e">
        <f>E56/E58</f>
        <v>#REF!</v>
      </c>
      <c r="C56" s="52"/>
      <c r="D56" s="52"/>
      <c r="E56" s="70" t="e">
        <f>#REF!+E48</f>
        <v>#REF!</v>
      </c>
      <c r="F56" s="12"/>
      <c r="G56" s="12"/>
      <c r="H56" s="50"/>
      <c r="I56" s="50"/>
      <c r="J56" s="50"/>
      <c r="K56" s="50"/>
      <c r="L56" s="50"/>
      <c r="M56" s="50"/>
      <c r="N56" s="50"/>
    </row>
    <row r="57" spans="1:21" hidden="1" x14ac:dyDescent="0.3">
      <c r="A57" s="51"/>
      <c r="B57" s="52"/>
      <c r="C57" s="52"/>
      <c r="D57" s="52"/>
      <c r="E57" s="12"/>
      <c r="F57" s="12"/>
      <c r="G57" s="12"/>
      <c r="H57" s="50"/>
      <c r="I57" s="50"/>
      <c r="J57" s="50"/>
      <c r="K57" s="50"/>
      <c r="L57" s="50"/>
      <c r="M57" s="50"/>
      <c r="N57" s="50"/>
    </row>
    <row r="58" spans="1:21" hidden="1" x14ac:dyDescent="0.3">
      <c r="A58" s="51"/>
      <c r="B58" s="52"/>
      <c r="C58" s="12"/>
      <c r="D58" s="12"/>
      <c r="E58" s="12">
        <v>23000</v>
      </c>
      <c r="F58" s="12"/>
      <c r="G58" s="12"/>
      <c r="H58" s="50"/>
      <c r="I58" s="50"/>
      <c r="J58" s="50"/>
      <c r="K58" s="50"/>
      <c r="L58" s="50"/>
      <c r="M58" s="50"/>
      <c r="N58" s="50"/>
    </row>
    <row r="59" spans="1:21" hidden="1" x14ac:dyDescent="0.3">
      <c r="A59" s="51"/>
      <c r="B59" s="52"/>
      <c r="C59" s="52"/>
      <c r="D59" s="52"/>
      <c r="E59" s="12"/>
      <c r="F59" s="12"/>
      <c r="G59" s="12"/>
      <c r="H59" s="50"/>
      <c r="I59" s="50"/>
      <c r="J59" s="50"/>
      <c r="K59" s="50"/>
      <c r="L59" s="50"/>
      <c r="M59" s="50"/>
      <c r="N59" s="50"/>
    </row>
    <row r="60" spans="1:21" hidden="1" x14ac:dyDescent="0.3">
      <c r="A60" s="51"/>
      <c r="B60" s="52"/>
      <c r="C60" s="52"/>
      <c r="D60" s="52"/>
      <c r="E60" s="12"/>
      <c r="F60" s="12"/>
      <c r="G60" s="12"/>
      <c r="H60" s="50"/>
      <c r="I60" s="50"/>
      <c r="J60" s="50"/>
      <c r="K60" s="50"/>
      <c r="L60" s="50"/>
      <c r="M60" s="50"/>
      <c r="N60" s="50"/>
    </row>
    <row r="61" spans="1:21" hidden="1" x14ac:dyDescent="0.3">
      <c r="A61" s="51"/>
      <c r="B61" s="52"/>
      <c r="C61" s="52"/>
      <c r="D61" s="52"/>
      <c r="E61" s="12"/>
      <c r="F61" s="12"/>
      <c r="G61" s="12"/>
      <c r="H61" s="50"/>
      <c r="I61" s="50"/>
      <c r="J61" s="50"/>
      <c r="K61" s="50"/>
      <c r="L61" s="50"/>
      <c r="M61" s="50"/>
      <c r="N61" s="50"/>
    </row>
    <row r="62" spans="1:21" hidden="1" x14ac:dyDescent="0.3">
      <c r="A62" s="51"/>
      <c r="B62" s="52"/>
      <c r="C62" s="52"/>
      <c r="D62" s="52"/>
      <c r="E62" s="12"/>
      <c r="F62" s="12"/>
      <c r="G62" s="12"/>
      <c r="H62" s="50"/>
      <c r="I62" s="50"/>
      <c r="J62" s="50"/>
      <c r="K62" s="50"/>
      <c r="L62" s="50"/>
      <c r="M62" s="50"/>
      <c r="N62" s="50"/>
    </row>
    <row r="63" spans="1:21" hidden="1" x14ac:dyDescent="0.3">
      <c r="A63" s="51"/>
      <c r="B63" s="52"/>
      <c r="C63" s="52"/>
      <c r="D63" s="52"/>
      <c r="E63" s="12"/>
      <c r="F63" s="12"/>
      <c r="G63" s="12"/>
      <c r="H63" s="50"/>
      <c r="I63" s="50"/>
      <c r="J63" s="50"/>
      <c r="K63" s="50"/>
      <c r="L63" s="50"/>
      <c r="M63" s="50"/>
      <c r="N63" s="50"/>
    </row>
    <row r="64" spans="1:21" hidden="1" x14ac:dyDescent="0.3">
      <c r="A64" s="51"/>
      <c r="B64" s="52"/>
      <c r="C64" s="52"/>
      <c r="D64" s="52"/>
      <c r="E64" s="12"/>
      <c r="F64" s="12"/>
      <c r="G64" s="12"/>
      <c r="H64" s="50"/>
      <c r="I64" s="50"/>
      <c r="J64" s="50"/>
      <c r="K64" s="50"/>
      <c r="L64" s="50"/>
      <c r="M64" s="50"/>
      <c r="N64" s="50"/>
    </row>
    <row r="65" spans="1:14" hidden="1" x14ac:dyDescent="0.3">
      <c r="A65" s="51"/>
      <c r="B65" s="52"/>
      <c r="C65" s="52"/>
      <c r="D65" s="52"/>
      <c r="E65" s="12"/>
      <c r="F65" s="12"/>
      <c r="G65" s="12"/>
      <c r="H65" s="50"/>
      <c r="I65" s="50"/>
      <c r="J65" s="50"/>
      <c r="K65" s="50"/>
      <c r="L65" s="50"/>
      <c r="M65" s="50"/>
      <c r="N65" s="50"/>
    </row>
    <row r="66" spans="1:14" hidden="1" x14ac:dyDescent="0.3">
      <c r="A66" s="51"/>
      <c r="B66" s="52"/>
      <c r="C66" s="52"/>
      <c r="D66" s="52"/>
      <c r="E66" s="12"/>
      <c r="F66" s="12"/>
      <c r="G66" s="12"/>
      <c r="H66" s="50"/>
      <c r="I66" s="50"/>
      <c r="J66" s="50"/>
      <c r="K66" s="50"/>
      <c r="L66" s="50"/>
      <c r="M66" s="50"/>
      <c r="N66" s="50"/>
    </row>
    <row r="67" spans="1:14" hidden="1" x14ac:dyDescent="0.3">
      <c r="A67" s="51"/>
      <c r="B67" s="52"/>
      <c r="C67" s="52"/>
      <c r="D67" s="52"/>
      <c r="E67" s="12"/>
      <c r="F67" s="12"/>
      <c r="G67" s="12"/>
      <c r="H67" s="50"/>
      <c r="I67" s="50"/>
      <c r="J67" s="50"/>
      <c r="K67" s="50"/>
      <c r="L67" s="50"/>
      <c r="M67" s="50"/>
      <c r="N67" s="50"/>
    </row>
    <row r="68" spans="1:14" hidden="1" x14ac:dyDescent="0.3">
      <c r="A68" s="51"/>
      <c r="B68" s="52"/>
      <c r="C68" s="12"/>
      <c r="D68" s="12"/>
      <c r="E68" s="12"/>
      <c r="F68" s="12"/>
      <c r="G68" s="12"/>
      <c r="H68" s="50" t="s">
        <v>42</v>
      </c>
      <c r="I68" s="50"/>
      <c r="J68" s="50"/>
      <c r="K68" s="50"/>
      <c r="L68" s="50"/>
      <c r="M68" s="50"/>
      <c r="N68" s="50"/>
    </row>
    <row r="69" spans="1:14" hidden="1" x14ac:dyDescent="0.3">
      <c r="A69" s="51"/>
      <c r="B69" s="52"/>
      <c r="C69" s="12"/>
      <c r="D69" s="12"/>
      <c r="E69" s="12"/>
      <c r="F69" s="12"/>
      <c r="G69" s="12"/>
      <c r="H69" s="50" t="s">
        <v>24</v>
      </c>
      <c r="I69" s="50"/>
      <c r="J69" s="50"/>
      <c r="K69" s="50"/>
      <c r="L69" s="50" t="s">
        <v>19</v>
      </c>
      <c r="M69" s="50" t="s">
        <v>13</v>
      </c>
      <c r="N69" s="50"/>
    </row>
    <row r="70" spans="1:14" hidden="1" x14ac:dyDescent="0.3">
      <c r="A70" s="51"/>
      <c r="B70" s="52"/>
      <c r="C70" s="12"/>
      <c r="D70" s="12"/>
      <c r="E70" s="12"/>
      <c r="F70" s="12"/>
      <c r="G70" s="12"/>
      <c r="H70" s="50" t="s">
        <v>39</v>
      </c>
      <c r="I70" s="50" t="s">
        <v>40</v>
      </c>
      <c r="J70" s="50" t="s">
        <v>18</v>
      </c>
      <c r="K70" s="50" t="s">
        <v>18</v>
      </c>
      <c r="L70" s="50" t="s">
        <v>18</v>
      </c>
      <c r="M70" s="50" t="s">
        <v>18</v>
      </c>
      <c r="N70" s="50"/>
    </row>
    <row r="71" spans="1:14" hidden="1" x14ac:dyDescent="0.3">
      <c r="A71" s="51"/>
      <c r="B71" s="52"/>
      <c r="C71" s="52"/>
      <c r="D71" s="52"/>
      <c r="E71" s="12"/>
      <c r="F71" s="12"/>
      <c r="G71" s="12"/>
      <c r="H71" s="50"/>
      <c r="I71" s="50"/>
      <c r="J71" s="50"/>
      <c r="K71" s="50"/>
      <c r="L71" s="50"/>
      <c r="M71" s="50"/>
      <c r="N71" s="50"/>
    </row>
    <row r="72" spans="1:14" hidden="1" x14ac:dyDescent="0.3">
      <c r="A72" s="51"/>
      <c r="B72" s="52"/>
      <c r="C72" s="52"/>
      <c r="D72" s="52"/>
      <c r="E72" s="12"/>
      <c r="F72" s="12"/>
      <c r="G72" s="12"/>
      <c r="H72" s="50"/>
      <c r="I72" s="50"/>
      <c r="J72" s="50"/>
      <c r="K72" s="50"/>
      <c r="L72" s="50"/>
      <c r="M72" s="50"/>
      <c r="N72" s="50"/>
    </row>
    <row r="73" spans="1:14" hidden="1" x14ac:dyDescent="0.3">
      <c r="A73" s="51"/>
      <c r="B73" s="52"/>
      <c r="C73" s="12"/>
      <c r="D73" s="12"/>
      <c r="E73" s="12"/>
      <c r="F73" s="12"/>
      <c r="G73" s="12"/>
      <c r="H73" s="50" t="s">
        <v>2</v>
      </c>
      <c r="I73" s="50"/>
      <c r="J73" s="50"/>
      <c r="K73" s="50"/>
      <c r="L73" s="50"/>
      <c r="M73" s="50"/>
      <c r="N73" s="50"/>
    </row>
    <row r="74" spans="1:14" hidden="1" x14ac:dyDescent="0.3">
      <c r="A74" s="51"/>
      <c r="B74" s="52">
        <v>0.1</v>
      </c>
      <c r="C74" s="70">
        <f>C72-B74*C72</f>
        <v>0</v>
      </c>
      <c r="D74" s="52" t="e">
        <f>1-C74/#REF!</f>
        <v>#REF!</v>
      </c>
      <c r="E74" s="79" t="e">
        <f>D74-D72</f>
        <v>#REF!</v>
      </c>
      <c r="F74" s="79" t="e">
        <f t="shared" ref="F74" si="4">E74</f>
        <v>#REF!</v>
      </c>
      <c r="G74" s="79"/>
      <c r="H74" s="12" t="s">
        <v>11</v>
      </c>
      <c r="I74" s="12" t="s">
        <v>1</v>
      </c>
      <c r="J74" s="50"/>
      <c r="K74" s="50"/>
      <c r="L74" s="50"/>
      <c r="M74" s="50"/>
      <c r="N74" s="50"/>
    </row>
    <row r="75" spans="1:14" hidden="1" x14ac:dyDescent="0.3">
      <c r="A75" s="51"/>
      <c r="B75" s="52"/>
      <c r="C75" s="52"/>
      <c r="D75" s="52"/>
      <c r="E75" s="12"/>
      <c r="F75" s="12"/>
      <c r="G75" s="12"/>
      <c r="H75" s="50"/>
      <c r="I75" s="50"/>
      <c r="J75" s="50"/>
      <c r="K75" s="50"/>
      <c r="L75" s="50"/>
      <c r="M75" s="50"/>
      <c r="N75" s="50"/>
    </row>
    <row r="76" spans="1:14" x14ac:dyDescent="0.3">
      <c r="A76" s="51"/>
      <c r="B76" s="52"/>
      <c r="C76" s="52"/>
      <c r="D76" s="52"/>
      <c r="E76" s="12"/>
      <c r="F76" s="12"/>
      <c r="G76" s="12"/>
      <c r="H76" s="50"/>
      <c r="I76" s="50"/>
      <c r="J76" s="50"/>
      <c r="K76" s="50"/>
      <c r="L76" s="50"/>
      <c r="M76" s="50"/>
      <c r="N76" s="50"/>
    </row>
    <row r="77" spans="1:14" x14ac:dyDescent="0.3">
      <c r="A77" s="51"/>
      <c r="B77" s="52"/>
      <c r="C77" s="52"/>
      <c r="D77" s="52"/>
      <c r="E77" s="12"/>
      <c r="F77" s="12"/>
      <c r="G77" s="12"/>
      <c r="H77" s="50"/>
      <c r="I77" s="50"/>
      <c r="J77" s="50"/>
      <c r="K77" s="50"/>
      <c r="L77" s="50"/>
      <c r="M77" s="50"/>
      <c r="N77" s="50"/>
    </row>
    <row r="78" spans="1:14" x14ac:dyDescent="0.3">
      <c r="A78" s="51"/>
      <c r="B78" s="52"/>
      <c r="C78" s="52"/>
      <c r="D78" s="52"/>
      <c r="E78" s="12"/>
      <c r="F78" s="12"/>
      <c r="G78" s="12"/>
      <c r="H78" s="50"/>
      <c r="I78" s="50"/>
      <c r="J78" s="50"/>
      <c r="K78" s="50"/>
      <c r="L78" s="50"/>
      <c r="M78" s="50"/>
      <c r="N78" s="5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Prediagnostico </vt:lpstr>
      <vt:lpstr>Ejemplo prediangostico rueda</vt:lpstr>
      <vt:lpstr>Uso del Cañon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PC-JMO</dc:creator>
  <cp:lastModifiedBy>PC-JMO</cp:lastModifiedBy>
  <cp:lastPrinted>2023-02-20T14:22:47Z</cp:lastPrinted>
  <dcterms:created xsi:type="dcterms:W3CDTF">2023-02-17T06:55:22Z</dcterms:created>
  <dcterms:modified xsi:type="dcterms:W3CDTF">2023-02-22T06:59:12Z</dcterms:modified>
</cp:coreProperties>
</file>